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PD A.Décima_02_2024\Tablas Excel Informe\Tablas Cap 4\"/>
    </mc:Choice>
  </mc:AlternateContent>
  <xr:revisionPtr revIDLastSave="0" documentId="13_ncr:1_{8AA7EFC7-4D19-48A9-B7CD-131FBD4B18AE}" xr6:coauthVersionLast="47" xr6:coauthVersionMax="47" xr10:uidLastSave="{00000000-0000-0000-0000-000000000000}"/>
  <bookViews>
    <workbookView xWindow="28680" yWindow="1335" windowWidth="19440" windowHeight="10590" tabRatio="568" firstSheet="2" activeTab="5" xr2:uid="{00000000-000D-0000-FFFF-FFFF00000000}"/>
  </bookViews>
  <sheets>
    <sheet name="Tratamiento Preliminar " sheetId="3" r:id="rId1"/>
    <sheet name="Tratamiento Primario" sheetId="4" r:id="rId2"/>
    <sheet name="Tratamiento Biológico (NO)" sheetId="5" r:id="rId3"/>
    <sheet name="Desinfección" sheetId="6" r:id="rId4"/>
    <sheet name="Lodos" sheetId="7" r:id="rId5"/>
    <sheet name="Conducciones de Disposición" sheetId="1" r:id="rId6"/>
    <sheet name="Colector Disposición" sheetId="8" r:id="rId7"/>
  </sheets>
  <externalReferences>
    <externalReference r:id="rId8"/>
    <externalReference r:id="rId9"/>
    <externalReference r:id="rId10"/>
    <externalReference r:id="rId11"/>
  </externalReferences>
  <definedNames>
    <definedName name="_Regression_Int" localSheetId="6" hidden="1">1</definedName>
    <definedName name="_xlnm.Print_Area" localSheetId="6">'Colector Disposición'!$A$8:$CH$20</definedName>
    <definedName name="_xlnm.Print_Area" localSheetId="5">'Conducciones de Disposición'!#REF!</definedName>
    <definedName name="_xlnm.Database" localSheetId="6">#REF!</definedName>
    <definedName name="_xlnm.Database">#REF!</definedName>
    <definedName name="Imprimir_área_IM" localSheetId="6">'Colector Disposición'!$A$8:$AP$19</definedName>
    <definedName name="solver_adj" localSheetId="6" hidden="1">'Colector Disposición'!#REF!</definedName>
    <definedName name="solver_cvg" localSheetId="6" hidden="1">0.0001</definedName>
    <definedName name="solver_drv" localSheetId="6" hidden="1">1</definedName>
    <definedName name="solver_est" localSheetId="6" hidden="1">1</definedName>
    <definedName name="solver_itr" localSheetId="6" hidden="1">100</definedName>
    <definedName name="solver_lin" localSheetId="6" hidden="1">2</definedName>
    <definedName name="solver_neg" localSheetId="6" hidden="1">2</definedName>
    <definedName name="solver_num" localSheetId="6" hidden="1">0</definedName>
    <definedName name="solver_nwt" localSheetId="6" hidden="1">1</definedName>
    <definedName name="solver_opt" localSheetId="6" hidden="1">'Colector Disposición'!#REF!</definedName>
    <definedName name="solver_pre" localSheetId="6" hidden="1">0.000001</definedName>
    <definedName name="solver_scl" localSheetId="6" hidden="1">2</definedName>
    <definedName name="solver_sho" localSheetId="6" hidden="1">2</definedName>
    <definedName name="solver_tim" localSheetId="6" hidden="1">100</definedName>
    <definedName name="solver_tol" localSheetId="6" hidden="1">0.05</definedName>
    <definedName name="solver_typ" localSheetId="6" hidden="1">2</definedName>
    <definedName name="solver_val" localSheetId="6" hidden="1">0</definedName>
    <definedName name="_xlnm.Print_Titles" localSheetId="6">'Colector Disposición'!$A:$A,'Colector Disposición'!$8:$16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1" l="1"/>
  <c r="B60" i="1"/>
  <c r="C60" i="1"/>
  <c r="D60" i="1"/>
  <c r="E60" i="1"/>
  <c r="A25" i="1"/>
  <c r="B25" i="1"/>
  <c r="C25" i="1" s="1"/>
  <c r="D25" i="1"/>
  <c r="E25" i="1"/>
  <c r="F25" i="1"/>
  <c r="F60" i="1" s="1"/>
  <c r="G60" i="1" s="1"/>
  <c r="B51" i="6"/>
  <c r="D51" i="6"/>
  <c r="B51" i="3"/>
  <c r="D51" i="3"/>
  <c r="B26" i="4"/>
  <c r="C26" i="4"/>
  <c r="B51" i="4"/>
  <c r="D51" i="4"/>
  <c r="B29" i="7"/>
  <c r="D29" i="7"/>
  <c r="G25" i="1" l="1"/>
  <c r="B26" i="6"/>
  <c r="C26" i="6"/>
  <c r="D26" i="6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P7" i="7"/>
  <c r="P6" i="7"/>
  <c r="P5" i="7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26" i="3"/>
  <c r="E26" i="3" s="1"/>
  <c r="C51" i="3" s="1"/>
  <c r="E51" i="3" s="1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B26" i="3"/>
  <c r="C26" i="3"/>
  <c r="P17" i="8"/>
  <c r="U17" i="8" s="1"/>
  <c r="Q17" i="8"/>
  <c r="E26" i="6" l="1"/>
  <c r="C51" i="6" s="1"/>
  <c r="E51" i="6" s="1"/>
  <c r="F17" i="8"/>
  <c r="AU17" i="8" s="1"/>
  <c r="F46" i="8"/>
  <c r="F45" i="8"/>
  <c r="F44" i="8"/>
  <c r="F43" i="8"/>
  <c r="B43" i="8"/>
  <c r="F42" i="8"/>
  <c r="B42" i="8"/>
  <c r="G42" i="8" s="1"/>
  <c r="G41" i="8"/>
  <c r="F41" i="8"/>
  <c r="B41" i="8"/>
  <c r="F40" i="8"/>
  <c r="B40" i="8"/>
  <c r="F39" i="8"/>
  <c r="B39" i="8"/>
  <c r="F38" i="8"/>
  <c r="B38" i="8"/>
  <c r="F37" i="8"/>
  <c r="B37" i="8"/>
  <c r="BW17" i="8"/>
  <c r="BJ17" i="8"/>
  <c r="AW17" i="8"/>
  <c r="AR17" i="8"/>
  <c r="W17" i="8"/>
  <c r="BT17" i="8" s="1"/>
  <c r="V17" i="8"/>
  <c r="X17" i="8" s="1"/>
  <c r="Y17" i="8" s="1"/>
  <c r="Z17" i="8"/>
  <c r="O17" i="8"/>
  <c r="BV17" i="8" s="1"/>
  <c r="M17" i="8"/>
  <c r="N17" i="8" s="1"/>
  <c r="L17" i="8"/>
  <c r="K17" i="8"/>
  <c r="AC8" i="8"/>
  <c r="AV17" i="8" l="1"/>
  <c r="BI17" i="8"/>
  <c r="BL17" i="8" s="1"/>
  <c r="BK17" i="8" s="1"/>
  <c r="AD17" i="8"/>
  <c r="BU17" i="8"/>
  <c r="AE17" i="8"/>
  <c r="AF17" i="8" s="1"/>
  <c r="AB17" i="8"/>
  <c r="AM17" i="8" s="1"/>
  <c r="AX17" i="8"/>
  <c r="BA17" i="8" s="1"/>
  <c r="AZ17" i="8" s="1"/>
  <c r="BC17" i="8" s="1"/>
  <c r="BX17" i="8"/>
  <c r="CA17" i="8" s="1"/>
  <c r="BZ17" i="8" s="1"/>
  <c r="CC17" i="8" s="1"/>
  <c r="AC17" i="8"/>
  <c r="BN17" i="8" l="1"/>
  <c r="BM17" i="8"/>
  <c r="BO17" i="8" s="1"/>
  <c r="BP17" i="8" s="1"/>
  <c r="BQ17" i="8" s="1"/>
  <c r="BR17" i="8" s="1"/>
  <c r="BB17" i="8"/>
  <c r="BD17" i="8" s="1"/>
  <c r="BE17" i="8" s="1"/>
  <c r="BF17" i="8" s="1"/>
  <c r="AH17" i="8"/>
  <c r="AG17" i="8"/>
  <c r="CB17" i="8"/>
  <c r="CD17" i="8" s="1"/>
  <c r="CE17" i="8" s="1"/>
  <c r="CF17" i="8" s="1"/>
  <c r="AT17" i="8"/>
  <c r="AN17" i="8"/>
  <c r="AP17" i="8" s="1"/>
  <c r="BG17" i="8" l="1"/>
  <c r="BH17" i="8" s="1"/>
  <c r="D9" i="1"/>
  <c r="AQ17" i="8"/>
  <c r="AS17" i="8" s="1"/>
  <c r="CG17" i="8"/>
  <c r="CH17" i="8" s="1"/>
  <c r="AO17" i="8"/>
  <c r="AI17" i="8"/>
  <c r="AJ17" i="8" s="1"/>
  <c r="AK17" i="8" s="1"/>
  <c r="AL17" i="8" s="1"/>
  <c r="B9" i="1" s="1"/>
  <c r="L23" i="1" l="1"/>
  <c r="P10" i="1"/>
  <c r="P11" i="1"/>
  <c r="P12" i="1"/>
  <c r="P13" i="1"/>
  <c r="P14" i="1"/>
  <c r="P15" i="1"/>
  <c r="P16" i="1"/>
  <c r="P17" i="1"/>
  <c r="P9" i="1"/>
  <c r="L20" i="1" l="1"/>
  <c r="D48" i="6"/>
  <c r="D49" i="6" s="1"/>
  <c r="D50" i="6" s="1"/>
  <c r="D40" i="3"/>
  <c r="D41" i="3" s="1"/>
  <c r="D42" i="3" s="1"/>
  <c r="D43" i="3" s="1"/>
  <c r="D44" i="3" s="1"/>
  <c r="D45" i="3" s="1"/>
  <c r="D46" i="3" s="1"/>
  <c r="D47" i="3" s="1"/>
  <c r="D48" i="3" s="1"/>
  <c r="H19" i="4"/>
  <c r="H18" i="4"/>
  <c r="T8" i="7"/>
  <c r="D9" i="7"/>
  <c r="M7" i="7"/>
  <c r="M6" i="7"/>
  <c r="M5" i="7"/>
  <c r="K5" i="7"/>
  <c r="Q5" i="7" l="1"/>
  <c r="L5" i="7"/>
  <c r="N5" i="7" l="1"/>
  <c r="K6" i="7"/>
  <c r="K7" i="7"/>
  <c r="N8" i="7" l="1"/>
  <c r="Q6" i="7"/>
  <c r="N6" i="7"/>
  <c r="Q7" i="7"/>
  <c r="N7" i="7"/>
  <c r="L7" i="7"/>
  <c r="L6" i="7"/>
  <c r="J6" i="7"/>
  <c r="J7" i="7" s="1"/>
  <c r="I4" i="4"/>
  <c r="D26" i="4" s="1"/>
  <c r="E26" i="4" s="1"/>
  <c r="C51" i="4" s="1"/>
  <c r="E51" i="4" s="1"/>
  <c r="Q8" i="7" l="1"/>
  <c r="F29" i="7" s="1"/>
  <c r="H29" i="7" s="1"/>
  <c r="F24" i="7"/>
  <c r="F23" i="7"/>
  <c r="F22" i="7"/>
  <c r="F21" i="7"/>
  <c r="F20" i="7"/>
  <c r="F16" i="7"/>
  <c r="F15" i="7"/>
  <c r="F14" i="7"/>
  <c r="C10" i="6"/>
  <c r="C10" i="3"/>
  <c r="F25" i="7" l="1"/>
  <c r="F26" i="7"/>
  <c r="F17" i="7"/>
  <c r="F18" i="7"/>
  <c r="F19" i="7"/>
  <c r="F27" i="7"/>
  <c r="F28" i="7"/>
  <c r="M16" i="1"/>
  <c r="L17" i="1"/>
  <c r="L19" i="1" s="1"/>
  <c r="M22" i="7" l="1"/>
  <c r="M21" i="7"/>
  <c r="L19" i="7"/>
  <c r="J15" i="7"/>
  <c r="J20" i="7" s="1"/>
  <c r="D13" i="7" s="1"/>
  <c r="I14" i="4"/>
  <c r="J12" i="4"/>
  <c r="I12" i="4"/>
  <c r="J14" i="4" s="1"/>
  <c r="D24" i="4"/>
  <c r="D23" i="4"/>
  <c r="D21" i="4"/>
  <c r="D20" i="4"/>
  <c r="D19" i="4"/>
  <c r="D18" i="4"/>
  <c r="D16" i="4"/>
  <c r="D13" i="4"/>
  <c r="D12" i="4"/>
  <c r="C11" i="6"/>
  <c r="D25" i="4"/>
  <c r="D22" i="4"/>
  <c r="D17" i="4"/>
  <c r="D14" i="4"/>
  <c r="C11" i="4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C11" i="3"/>
  <c r="N17" i="7" l="1"/>
  <c r="N18" i="7" s="1"/>
  <c r="K12" i="4"/>
  <c r="B10" i="6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J11" i="4"/>
  <c r="I11" i="4" s="1"/>
  <c r="J15" i="4" s="1"/>
  <c r="I15" i="4" s="1"/>
  <c r="D39" i="4" s="1"/>
  <c r="D49" i="3"/>
  <c r="D50" i="3" s="1"/>
  <c r="D14" i="7"/>
  <c r="D15" i="4"/>
  <c r="D11" i="4"/>
  <c r="E11" i="4" s="1"/>
  <c r="E11" i="6"/>
  <c r="C12" i="6"/>
  <c r="B35" i="4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C12" i="4"/>
  <c r="E11" i="3"/>
  <c r="C12" i="3"/>
  <c r="E12" i="3" s="1"/>
  <c r="D40" i="4" l="1"/>
  <c r="B13" i="7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35" i="6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H14" i="7"/>
  <c r="D15" i="7"/>
  <c r="E12" i="6"/>
  <c r="C13" i="6"/>
  <c r="E12" i="4"/>
  <c r="C13" i="4"/>
  <c r="C13" i="3"/>
  <c r="E13" i="3" s="1"/>
  <c r="D41" i="4" l="1"/>
  <c r="C14" i="3"/>
  <c r="H15" i="7"/>
  <c r="D16" i="7"/>
  <c r="E13" i="6"/>
  <c r="C14" i="6"/>
  <c r="E13" i="4"/>
  <c r="C14" i="4"/>
  <c r="E14" i="3"/>
  <c r="C39" i="3" s="1"/>
  <c r="E39" i="3" s="1"/>
  <c r="C15" i="3"/>
  <c r="A9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D42" i="4" l="1"/>
  <c r="D43" i="4" s="1"/>
  <c r="D44" i="4" s="1"/>
  <c r="D45" i="4" s="1"/>
  <c r="D46" i="4" s="1"/>
  <c r="D47" i="4" s="1"/>
  <c r="D48" i="4" s="1"/>
  <c r="H16" i="7"/>
  <c r="D17" i="7"/>
  <c r="E14" i="6"/>
  <c r="C15" i="6"/>
  <c r="E14" i="4"/>
  <c r="C39" i="4" s="1"/>
  <c r="E39" i="4" s="1"/>
  <c r="C15" i="4"/>
  <c r="E15" i="3"/>
  <c r="C40" i="3" s="1"/>
  <c r="E40" i="3" s="1"/>
  <c r="C16" i="3"/>
  <c r="H17" i="7" l="1"/>
  <c r="D18" i="7"/>
  <c r="E15" i="6"/>
  <c r="C16" i="6"/>
  <c r="E15" i="4"/>
  <c r="C40" i="4" s="1"/>
  <c r="E40" i="4" s="1"/>
  <c r="C16" i="4"/>
  <c r="E16" i="3"/>
  <c r="C41" i="3" s="1"/>
  <c r="E41" i="3" s="1"/>
  <c r="C17" i="3"/>
  <c r="H18" i="7" l="1"/>
  <c r="D19" i="7"/>
  <c r="E16" i="6"/>
  <c r="C17" i="6"/>
  <c r="E16" i="4"/>
  <c r="C41" i="4" s="1"/>
  <c r="E41" i="4" s="1"/>
  <c r="C17" i="4"/>
  <c r="E17" i="3"/>
  <c r="C42" i="3" s="1"/>
  <c r="E42" i="3" s="1"/>
  <c r="C18" i="3"/>
  <c r="H19" i="7" l="1"/>
  <c r="D20" i="7"/>
  <c r="E17" i="6"/>
  <c r="C18" i="6"/>
  <c r="E17" i="4"/>
  <c r="C42" i="4" s="1"/>
  <c r="C18" i="4"/>
  <c r="E18" i="3"/>
  <c r="C43" i="3" s="1"/>
  <c r="E43" i="3" s="1"/>
  <c r="C19" i="3"/>
  <c r="H20" i="7" l="1"/>
  <c r="D21" i="7"/>
  <c r="E18" i="6"/>
  <c r="C19" i="6"/>
  <c r="E18" i="4"/>
  <c r="C43" i="4" s="1"/>
  <c r="C19" i="4"/>
  <c r="E19" i="3"/>
  <c r="C44" i="3" s="1"/>
  <c r="E44" i="3" s="1"/>
  <c r="C20" i="3"/>
  <c r="H21" i="7" l="1"/>
  <c r="D22" i="7"/>
  <c r="E19" i="6"/>
  <c r="C20" i="6"/>
  <c r="E19" i="4"/>
  <c r="C44" i="4" s="1"/>
  <c r="C20" i="4"/>
  <c r="E20" i="3"/>
  <c r="C45" i="3" s="1"/>
  <c r="E45" i="3" s="1"/>
  <c r="C21" i="3"/>
  <c r="H22" i="7" l="1"/>
  <c r="D23" i="7"/>
  <c r="E20" i="6"/>
  <c r="C21" i="6"/>
  <c r="E20" i="4"/>
  <c r="C45" i="4" s="1"/>
  <c r="C21" i="4"/>
  <c r="E21" i="3"/>
  <c r="C46" i="3" s="1"/>
  <c r="E46" i="3" s="1"/>
  <c r="C22" i="3"/>
  <c r="H23" i="7" l="1"/>
  <c r="D24" i="7"/>
  <c r="E21" i="6"/>
  <c r="C22" i="6"/>
  <c r="E21" i="4"/>
  <c r="C46" i="4" s="1"/>
  <c r="C22" i="4"/>
  <c r="E22" i="3"/>
  <c r="C47" i="3" s="1"/>
  <c r="E47" i="3" s="1"/>
  <c r="C23" i="3"/>
  <c r="H24" i="7" l="1"/>
  <c r="D25" i="7"/>
  <c r="E22" i="6"/>
  <c r="C47" i="6" s="1"/>
  <c r="E47" i="6" s="1"/>
  <c r="C23" i="6"/>
  <c r="E22" i="4"/>
  <c r="C47" i="4" s="1"/>
  <c r="C23" i="4"/>
  <c r="E23" i="3"/>
  <c r="C48" i="3" s="1"/>
  <c r="E48" i="3" s="1"/>
  <c r="C24" i="3"/>
  <c r="E45" i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A44" i="1"/>
  <c r="B32" i="1"/>
  <c r="B36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H25" i="7" l="1"/>
  <c r="D26" i="7"/>
  <c r="E23" i="6"/>
  <c r="C48" i="6" s="1"/>
  <c r="E48" i="6" s="1"/>
  <c r="C24" i="6"/>
  <c r="E23" i="4"/>
  <c r="C48" i="4" s="1"/>
  <c r="C24" i="4"/>
  <c r="E24" i="3"/>
  <c r="C49" i="3" s="1"/>
  <c r="E49" i="3" s="1"/>
  <c r="C25" i="3"/>
  <c r="E25" i="3" s="1"/>
  <c r="C50" i="3" s="1"/>
  <c r="E50" i="3" s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K17" i="1"/>
  <c r="M17" i="1" l="1"/>
  <c r="H26" i="7"/>
  <c r="D27" i="7"/>
  <c r="E24" i="6"/>
  <c r="C49" i="6" s="1"/>
  <c r="E49" i="6" s="1"/>
  <c r="C25" i="6"/>
  <c r="E25" i="6" s="1"/>
  <c r="C50" i="6" s="1"/>
  <c r="E50" i="6" s="1"/>
  <c r="E24" i="4"/>
  <c r="C49" i="4" s="1"/>
  <c r="C25" i="4"/>
  <c r="E25" i="4" s="1"/>
  <c r="C50" i="4" s="1"/>
  <c r="E9" i="1"/>
  <c r="H27" i="7" l="1"/>
  <c r="D28" i="7"/>
  <c r="H28" i="7" s="1"/>
  <c r="E10" i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B29" i="1" l="1"/>
  <c r="B44" i="1" l="1"/>
  <c r="B34" i="1"/>
  <c r="B35" i="1" s="1"/>
  <c r="B37" i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C9" i="1" l="1"/>
  <c r="B10" i="1"/>
  <c r="C10" i="1" s="1"/>
  <c r="G10" i="1" s="1"/>
  <c r="B45" i="1"/>
  <c r="C44" i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E42" i="4" l="1"/>
  <c r="B11" i="1"/>
  <c r="C11" i="1" s="1"/>
  <c r="G11" i="1" s="1"/>
  <c r="B46" i="1"/>
  <c r="C45" i="1"/>
  <c r="G45" i="1" s="1"/>
  <c r="E43" i="4" l="1"/>
  <c r="B12" i="1"/>
  <c r="C12" i="1" s="1"/>
  <c r="G12" i="1" s="1"/>
  <c r="B47" i="1"/>
  <c r="C46" i="1"/>
  <c r="G46" i="1" s="1"/>
  <c r="E44" i="4" l="1"/>
  <c r="B13" i="1"/>
  <c r="C13" i="1" s="1"/>
  <c r="G13" i="1" s="1"/>
  <c r="B48" i="1"/>
  <c r="C47" i="1"/>
  <c r="G47" i="1" s="1"/>
  <c r="E45" i="4" l="1"/>
  <c r="B14" i="1"/>
  <c r="C14" i="1" s="1"/>
  <c r="G14" i="1" s="1"/>
  <c r="C48" i="1"/>
  <c r="G48" i="1" s="1"/>
  <c r="B49" i="1"/>
  <c r="E46" i="4" l="1"/>
  <c r="B15" i="1"/>
  <c r="C15" i="1" s="1"/>
  <c r="G15" i="1" s="1"/>
  <c r="C49" i="1"/>
  <c r="G49" i="1" s="1"/>
  <c r="B50" i="1"/>
  <c r="E47" i="4" l="1"/>
  <c r="B16" i="1"/>
  <c r="C16" i="1" s="1"/>
  <c r="G16" i="1" s="1"/>
  <c r="C50" i="1"/>
  <c r="G50" i="1" s="1"/>
  <c r="B51" i="1"/>
  <c r="D49" i="4" l="1"/>
  <c r="E48" i="4"/>
  <c r="B17" i="1"/>
  <c r="C17" i="1" s="1"/>
  <c r="G17" i="1" s="1"/>
  <c r="B52" i="1"/>
  <c r="C51" i="1"/>
  <c r="G51" i="1" s="1"/>
  <c r="D50" i="4" l="1"/>
  <c r="E50" i="4" s="1"/>
  <c r="E49" i="4"/>
  <c r="B18" i="1"/>
  <c r="B19" i="1" s="1"/>
  <c r="C52" i="1"/>
  <c r="G52" i="1" s="1"/>
  <c r="B53" i="1"/>
  <c r="C18" i="1" l="1"/>
  <c r="G18" i="1" s="1"/>
  <c r="B54" i="1"/>
  <c r="C53" i="1"/>
  <c r="G53" i="1" s="1"/>
  <c r="C19" i="1"/>
  <c r="G19" i="1" s="1"/>
  <c r="B20" i="1"/>
  <c r="B21" i="1" l="1"/>
  <c r="C20" i="1"/>
  <c r="G20" i="1" s="1"/>
  <c r="B55" i="1"/>
  <c r="C54" i="1"/>
  <c r="G54" i="1" s="1"/>
  <c r="C55" i="1" l="1"/>
  <c r="G55" i="1" s="1"/>
  <c r="B56" i="1"/>
  <c r="B22" i="1"/>
  <c r="C21" i="1"/>
  <c r="G21" i="1" s="1"/>
  <c r="C22" i="1" l="1"/>
  <c r="G22" i="1" s="1"/>
  <c r="B23" i="1"/>
  <c r="B57" i="1"/>
  <c r="C56" i="1"/>
  <c r="G56" i="1" s="1"/>
  <c r="C57" i="1" l="1"/>
  <c r="G57" i="1" s="1"/>
  <c r="B58" i="1"/>
  <c r="C23" i="1"/>
  <c r="G23" i="1" s="1"/>
  <c r="B24" i="1"/>
  <c r="C24" i="1" s="1"/>
  <c r="G24" i="1" s="1"/>
  <c r="B59" i="1" l="1"/>
  <c r="C59" i="1" s="1"/>
  <c r="G59" i="1" s="1"/>
  <c r="C58" i="1"/>
  <c r="G58" i="1" s="1"/>
  <c r="F13" i="7" l="1"/>
  <c r="H13" i="7" l="1"/>
  <c r="D10" i="4"/>
  <c r="E10" i="4" s="1"/>
  <c r="E10" i="6"/>
  <c r="E10" i="3" l="1"/>
  <c r="F44" i="1" l="1"/>
  <c r="G44" i="1" s="1"/>
  <c r="G9" i="1"/>
</calcChain>
</file>

<file path=xl/sharedStrings.xml><?xml version="1.0" encoding="utf-8"?>
<sst xmlns="http://schemas.openxmlformats.org/spreadsheetml/2006/main" count="376" uniqueCount="206">
  <si>
    <t>Año</t>
  </si>
  <si>
    <t>Balance Sin Proyecto (l/s)</t>
  </si>
  <si>
    <t xml:space="preserve">Obra </t>
  </si>
  <si>
    <t>mg/lt</t>
  </si>
  <si>
    <t>Capacidad diseño producción</t>
  </si>
  <si>
    <t>Demanda Lodos Deshidratados proyectada</t>
  </si>
  <si>
    <t>Balance Sin Proyecto</t>
  </si>
  <si>
    <t>Lodos Deshidratados</t>
  </si>
  <si>
    <t>LODOS</t>
  </si>
  <si>
    <t>Kg lodo/día</t>
  </si>
  <si>
    <t>m3 lodo/día</t>
  </si>
  <si>
    <t>Vol</t>
  </si>
  <si>
    <t>m3/día / (l/s)</t>
  </si>
  <si>
    <t>CAPACIDAD DE LA CENTRÍFUGA</t>
  </si>
  <si>
    <t>m3/hr</t>
  </si>
  <si>
    <t>m3/día (considera 12 horas de operación)</t>
  </si>
  <si>
    <t>lodo entra a</t>
  </si>
  <si>
    <t>de SST</t>
  </si>
  <si>
    <t>lodo seco por día</t>
  </si>
  <si>
    <t>lodo sale a</t>
  </si>
  <si>
    <t>CONDUCCION DE DISPOSICIÓN</t>
  </si>
  <si>
    <t>TRAMOS</t>
  </si>
  <si>
    <t>D</t>
  </si>
  <si>
    <t>Dint</t>
  </si>
  <si>
    <t>L</t>
  </si>
  <si>
    <t>i</t>
  </si>
  <si>
    <t>fibra vidrio</t>
  </si>
  <si>
    <t>HDPE</t>
  </si>
  <si>
    <t>Deq:</t>
  </si>
  <si>
    <t>i media:</t>
  </si>
  <si>
    <t>h/d=</t>
  </si>
  <si>
    <t>n=</t>
  </si>
  <si>
    <t>Capacidad:</t>
  </si>
  <si>
    <t>EMISARIO SUBACUATICO</t>
  </si>
  <si>
    <t>Q</t>
  </si>
  <si>
    <t>material</t>
  </si>
  <si>
    <t>acero</t>
  </si>
  <si>
    <t>Dinterior</t>
  </si>
  <si>
    <t>C</t>
  </si>
  <si>
    <t>J</t>
  </si>
  <si>
    <t>JL</t>
  </si>
  <si>
    <t>Area</t>
  </si>
  <si>
    <t>Velocidad</t>
  </si>
  <si>
    <t>(l/s)</t>
  </si>
  <si>
    <t>(m/s)</t>
  </si>
  <si>
    <t>(mm)</t>
  </si>
  <si>
    <t>Verificación Colector Disposición</t>
  </si>
  <si>
    <t>% Long</t>
  </si>
  <si>
    <t>COLECTORES CIRCULARES</t>
  </si>
  <si>
    <t>CARACTERISTICAS TRAMO</t>
  </si>
  <si>
    <t>CALCULO DE CAUDALES</t>
  </si>
  <si>
    <t>DIAGNOSTICO CAUDAL MAXIMO</t>
  </si>
  <si>
    <t>DIAGNOSTICO CAUDAL MINIMO</t>
  </si>
  <si>
    <t>(GANGUILLET Y KUTTER)</t>
  </si>
  <si>
    <t>CALCULOS PARA CAPACIDAD MAXIMA CAÑERIA</t>
  </si>
  <si>
    <t>CALCULOS PARA CAUDAL MAXIMO INSTANTANEO</t>
  </si>
  <si>
    <t>CALCULOS PARA CAUDAL MINIMO</t>
  </si>
  <si>
    <t>Nominal</t>
  </si>
  <si>
    <t>Interior</t>
  </si>
  <si>
    <t>TERRENO</t>
  </si>
  <si>
    <t>RADIER</t>
  </si>
  <si>
    <t>APORTES EN EL TRAMO</t>
  </si>
  <si>
    <t>OTROS APORTES</t>
  </si>
  <si>
    <t>ACUMULADO</t>
  </si>
  <si>
    <t>CAPACIDAD</t>
  </si>
  <si>
    <t>CAUDAL</t>
  </si>
  <si>
    <t>NOMBRE</t>
  </si>
  <si>
    <t xml:space="preserve"> ENTRE</t>
  </si>
  <si>
    <t>Material</t>
  </si>
  <si>
    <t>DIAMETRO</t>
  </si>
  <si>
    <t>COTA</t>
  </si>
  <si>
    <t>CT-CR</t>
  </si>
  <si>
    <t>LONGITUD</t>
  </si>
  <si>
    <t>L ACUM.</t>
  </si>
  <si>
    <t>PENDIENTE</t>
  </si>
  <si>
    <t>RADIO</t>
  </si>
  <si>
    <t>ALTURA</t>
  </si>
  <si>
    <t>AREA</t>
  </si>
  <si>
    <t>PER.</t>
  </si>
  <si>
    <t>COEF.</t>
  </si>
  <si>
    <t>CAÑERIA</t>
  </si>
  <si>
    <t>MAXIMO</t>
  </si>
  <si>
    <t>VELOCIDAD</t>
  </si>
  <si>
    <t>PERIM.</t>
  </si>
  <si>
    <t>VELOC.</t>
  </si>
  <si>
    <t>CAMARAS</t>
  </si>
  <si>
    <t>INICIAL</t>
  </si>
  <si>
    <t>FINAL</t>
  </si>
  <si>
    <t>inicial</t>
  </si>
  <si>
    <t>final</t>
  </si>
  <si>
    <t>(m)</t>
  </si>
  <si>
    <t>*(1)</t>
  </si>
  <si>
    <t>Q MEDIO</t>
  </si>
  <si>
    <t>POBLAC.</t>
  </si>
  <si>
    <t>CAÑERIAS</t>
  </si>
  <si>
    <t>QMEDIO</t>
  </si>
  <si>
    <t>QMIN</t>
  </si>
  <si>
    <t>HARMON</t>
  </si>
  <si>
    <t>Q MAX</t>
  </si>
  <si>
    <t>PEAS</t>
  </si>
  <si>
    <t>TUBO</t>
  </si>
  <si>
    <t>ESCURR.</t>
  </si>
  <si>
    <t>2*Ó</t>
  </si>
  <si>
    <t>MOJADO</t>
  </si>
  <si>
    <t>HIDR.</t>
  </si>
  <si>
    <t>CHEZY</t>
  </si>
  <si>
    <t>VEL.</t>
  </si>
  <si>
    <t>(h/d=0,7)</t>
  </si>
  <si>
    <t>Total</t>
  </si>
  <si>
    <t>h/D</t>
  </si>
  <si>
    <t xml:space="preserve">VELOC.   </t>
  </si>
  <si>
    <t>CUMPLE</t>
  </si>
  <si>
    <t>AUTOLAVADO</t>
  </si>
  <si>
    <t>I</t>
  </si>
  <si>
    <t>GANGUILLET</t>
  </si>
  <si>
    <t>MAXIMA</t>
  </si>
  <si>
    <t>H/D</t>
  </si>
  <si>
    <t>Ú</t>
  </si>
  <si>
    <t>Ó</t>
  </si>
  <si>
    <t>TOTAL</t>
  </si>
  <si>
    <t>COEFIC.</t>
  </si>
  <si>
    <t>F(Q)=0</t>
  </si>
  <si>
    <t>PORTEO</t>
  </si>
  <si>
    <t>MINIMO</t>
  </si>
  <si>
    <t>MINIMA</t>
  </si>
  <si>
    <t>(hab)</t>
  </si>
  <si>
    <t>aall</t>
  </si>
  <si>
    <t>[m]</t>
  </si>
  <si>
    <t>[Rad]</t>
  </si>
  <si>
    <t>[m²]</t>
  </si>
  <si>
    <t>(o/1)</t>
  </si>
  <si>
    <t>KUTTER</t>
  </si>
  <si>
    <t>[º]</t>
  </si>
  <si>
    <t>(rad)</t>
  </si>
  <si>
    <t>(m²)</t>
  </si>
  <si>
    <t>*(2)</t>
  </si>
  <si>
    <t>*(3)</t>
  </si>
  <si>
    <t>Colector</t>
  </si>
  <si>
    <t>Rugosidad (cañerías PVC y HDPE) =</t>
  </si>
  <si>
    <t>Altura máxima de escurrimiento (h/D)  =</t>
  </si>
  <si>
    <t>nota 1 :  Puede ser calculada con las cotas de radier o ser ingresada directamente</t>
  </si>
  <si>
    <t>nota 2 : Variando H/d mínimo se debe llegar a F(Q)=0 (esto se hace con el menú, Herramientas-Buscar objetivo)</t>
  </si>
  <si>
    <t>nota 3 : Variando H/d máximo se debe llegar a F(Q)=0</t>
  </si>
  <si>
    <t>nota (4) : Las columnas "CUMPLE" deben tener sólo "SI "en caso de diseño. En caso de verificación pueden tener "SI" o "NO".</t>
  </si>
  <si>
    <t>Diámetro</t>
  </si>
  <si>
    <t>exterior</t>
  </si>
  <si>
    <t>interior</t>
  </si>
  <si>
    <t>(PVC)</t>
  </si>
  <si>
    <t>(HDPE)</t>
  </si>
  <si>
    <t>HUMEDAD LODO</t>
  </si>
  <si>
    <t>m3/día</t>
  </si>
  <si>
    <t>Qmedio real</t>
  </si>
  <si>
    <t>ESTAS VARIABLES SON DE PR-23</t>
  </si>
  <si>
    <t>Balance Oferta – Demanda</t>
  </si>
  <si>
    <t>Plantas de Tratamiento Aguas Servidas Por Sector – Sin Proyecto</t>
  </si>
  <si>
    <t>Nombre Sector</t>
  </si>
  <si>
    <t>Nombre Planta</t>
  </si>
  <si>
    <t>Tratamiento Preliminar</t>
  </si>
  <si>
    <t>Plantas de Tratamiento Aguas Servidas por Sector – Con Proyecto</t>
  </si>
  <si>
    <t>CUADRO Nº 4.38.a</t>
  </si>
  <si>
    <t>CUADRO Nº 4.39.a</t>
  </si>
  <si>
    <t>CUADRO Nº 4.40.a...n</t>
  </si>
  <si>
    <t>Plantas de Tratamiento Aguas Servidas por Sector – Sin Proyecto</t>
  </si>
  <si>
    <t>Tratamiento primario (químicamente asistido o no)</t>
  </si>
  <si>
    <t>CUADRO Nº 4.41.a...n</t>
  </si>
  <si>
    <t>CUADRO Nº 4.42 a...n</t>
  </si>
  <si>
    <t>Balance Oferta – Demanda Capacidad Hidráulica</t>
  </si>
  <si>
    <t>Tratamiento Biológico</t>
  </si>
  <si>
    <t>CUADRO Nº 4.43a...n</t>
  </si>
  <si>
    <t>Balance Oferta – Demanda Capacidad Carga Orgánica Plantas de Tratamiento Aguas Servidas Por Sector – Sin Proyecto</t>
  </si>
  <si>
    <t>Desinfección</t>
  </si>
  <si>
    <t>CUADRO Nº 4.46a</t>
  </si>
  <si>
    <t>CUADRO Nº 4.47.a...n</t>
  </si>
  <si>
    <t>Plantas de Tratamiento de Aguas Servidas Por Sector – Con Proyecto</t>
  </si>
  <si>
    <t>Deficit sin proyecto</t>
  </si>
  <si>
    <t xml:space="preserve">Balance con Proyecto </t>
  </si>
  <si>
    <t>CUADRO Nº 4.48.a...n</t>
  </si>
  <si>
    <t>Plantas de Tratamiento de Aguas Servidas Por Sector – Sin Proyecto</t>
  </si>
  <si>
    <t>Producción de Lodos</t>
  </si>
  <si>
    <t>Humedad del lodo (%):</t>
  </si>
  <si>
    <t>Balance Sin Proyecto
(l/s)</t>
  </si>
  <si>
    <t>Demanda
(Qmáx horario)
(l/s)</t>
  </si>
  <si>
    <t>Capacidad
(Q máx horario)
(l/s)</t>
  </si>
  <si>
    <t>Nombre Sector: Valdivia</t>
  </si>
  <si>
    <t>Nombre Planta: Las Mulatas</t>
  </si>
  <si>
    <t>Deficit sin proyecto
(l/s)</t>
  </si>
  <si>
    <t>Obra Proyectada
(Q máx hor)
(l/s)</t>
  </si>
  <si>
    <t>Balance con Proyecto
(l/s)</t>
  </si>
  <si>
    <t>Capacidad
(Qmedio de diseño)
(l/s)</t>
  </si>
  <si>
    <t>Demanda
(Q medio proyectado)
(l/s)</t>
  </si>
  <si>
    <t>Balance sin proyecto
(l/s)</t>
  </si>
  <si>
    <t>Obra proyectada
(l/s)</t>
  </si>
  <si>
    <t>Total Capacidad
(l/s)</t>
  </si>
  <si>
    <t>V eq
(m/s)</t>
  </si>
  <si>
    <t>D eq
(mm)</t>
  </si>
  <si>
    <t>Demanda Qmáx
(l/s)</t>
  </si>
  <si>
    <t xml:space="preserve"> Capacidad Qmáx porteo
(l/s)</t>
  </si>
  <si>
    <t>Disposición</t>
  </si>
  <si>
    <t>Pendiente</t>
  </si>
  <si>
    <t>Capacidad diseño
(mg/lt)</t>
  </si>
  <si>
    <t>Demanda SST
(mg/l día proy.)</t>
  </si>
  <si>
    <t>DATO EMPRESA</t>
  </si>
  <si>
    <t>DATO PARA PD</t>
  </si>
  <si>
    <t>PR-23</t>
  </si>
  <si>
    <t>Qmedio teórico PD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</si>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</sst>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0.0%"/>
    <numFmt numFmtId="165" formatCode="#,##0.0"/>
    <numFmt numFmtId="166" formatCode="0.000"/>
    <numFmt numFmtId="167" formatCode="0.0"/>
    <numFmt numFmtId="168" formatCode="0.0000"/>
    <numFmt numFmtId="169" formatCode="0.000E+00"/>
    <numFmt numFmtId="170" formatCode="_-[$€]\ * #,##0.00_-;\-[$€]\ * #,##0.00_-;_-[$€]\ * &quot;-&quot;??_-;_-@_-"/>
    <numFmt numFmtId="171" formatCode="#,#00"/>
    <numFmt numFmtId="172" formatCode="#.##000"/>
    <numFmt numFmtId="173" formatCode="\$#,#00"/>
    <numFmt numFmtId="174" formatCode="0.00_)"/>
    <numFmt numFmtId="175" formatCode="0.000_)"/>
    <numFmt numFmtId="176" formatCode="#,##0.0000_);\(#,##0.0000\)"/>
    <numFmt numFmtId="177" formatCode="#,##0.000_);\(#,##0.000\)"/>
    <numFmt numFmtId="178" formatCode="#,##0.0_);\(#,##0.0\)"/>
    <numFmt numFmtId="179" formatCode="0.0_)"/>
    <numFmt numFmtId="180" formatCode="??0"/>
    <numFmt numFmtId="181" formatCode="#,##0\ "/>
    <numFmt numFmtId="182" formatCode="#,##0.0\ "/>
    <numFmt numFmtId="183" formatCode="#,##0.00\ "/>
    <numFmt numFmtId="184" formatCode="#,##0.000\ "/>
    <numFmt numFmtId="185" formatCode="#,##0.00000\ "/>
  </numFmts>
  <fonts count="35" x14ac:knownFonts="1"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1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b/>
      <sz val="9"/>
      <color indexed="8"/>
      <name val="Arial"/>
      <family val="1"/>
      <charset val="204"/>
    </font>
    <font>
      <sz val="10"/>
      <name val="Arial"/>
      <family val="1"/>
      <charset val="204"/>
    </font>
    <font>
      <sz val="9"/>
      <color indexed="8"/>
      <name val="Arial Narrow"/>
      <family val="2"/>
    </font>
    <font>
      <sz val="10"/>
      <name val="Arial Narrow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9" applyNumberFormat="0" applyAlignment="0" applyProtection="0"/>
    <xf numFmtId="0" fontId="10" fillId="21" borderId="10" applyNumberFormat="0" applyAlignment="0" applyProtection="0"/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0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171" fontId="11" fillId="0" borderId="0">
      <protection locked="0"/>
    </xf>
    <xf numFmtId="172" fontId="11" fillId="0" borderId="0">
      <protection locked="0"/>
    </xf>
    <xf numFmtId="0" fontId="15" fillId="4" borderId="0" applyNumberFormat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9" applyNumberFormat="0" applyAlignment="0" applyProtection="0"/>
    <xf numFmtId="0" fontId="20" fillId="0" borderId="14" applyNumberFormat="0" applyFill="0" applyAlignment="0" applyProtection="0"/>
    <xf numFmtId="173" fontId="11" fillId="0" borderId="0">
      <protection locked="0"/>
    </xf>
    <xf numFmtId="0" fontId="21" fillId="0" borderId="0"/>
    <xf numFmtId="0" fontId="22" fillId="0" borderId="0"/>
    <xf numFmtId="0" fontId="6" fillId="22" borderId="15" applyNumberFormat="0" applyFont="0" applyAlignment="0" applyProtection="0"/>
    <xf numFmtId="0" fontId="23" fillId="20" borderId="1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6" fontId="2" fillId="0" borderId="0" xfId="0" applyNumberFormat="1" applyFont="1"/>
    <xf numFmtId="167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0" xfId="0" applyNumberFormat="1" applyFont="1"/>
    <xf numFmtId="165" fontId="2" fillId="0" borderId="0" xfId="0" applyNumberFormat="1" applyFont="1"/>
    <xf numFmtId="10" fontId="2" fillId="0" borderId="0" xfId="0" applyNumberFormat="1" applyFont="1"/>
    <xf numFmtId="4" fontId="1" fillId="0" borderId="0" xfId="2" applyNumberFormat="1"/>
    <xf numFmtId="169" fontId="2" fillId="0" borderId="0" xfId="0" applyNumberFormat="1" applyFont="1"/>
    <xf numFmtId="4" fontId="5" fillId="0" borderId="0" xfId="2" applyNumberFormat="1" applyFont="1"/>
    <xf numFmtId="0" fontId="4" fillId="0" borderId="0" xfId="0" applyFont="1"/>
    <xf numFmtId="0" fontId="2" fillId="0" borderId="18" xfId="0" applyFont="1" applyBorder="1"/>
    <xf numFmtId="9" fontId="2" fillId="0" borderId="20" xfId="1" applyFont="1" applyBorder="1"/>
    <xf numFmtId="0" fontId="2" fillId="0" borderId="20" xfId="0" applyFont="1" applyBorder="1"/>
    <xf numFmtId="0" fontId="5" fillId="0" borderId="0" xfId="2" applyFont="1"/>
    <xf numFmtId="167" fontId="5" fillId="0" borderId="0" xfId="2" applyNumberFormat="1" applyFont="1"/>
    <xf numFmtId="10" fontId="5" fillId="0" borderId="0" xfId="2" applyNumberFormat="1" applyFont="1"/>
    <xf numFmtId="3" fontId="5" fillId="0" borderId="0" xfId="2" applyNumberFormat="1" applyFont="1"/>
    <xf numFmtId="166" fontId="5" fillId="0" borderId="0" xfId="2" applyNumberFormat="1" applyFont="1"/>
    <xf numFmtId="167" fontId="5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0" fontId="5" fillId="0" borderId="0" xfId="2" applyFont="1" applyAlignment="1">
      <alignment horizontal="fill"/>
    </xf>
    <xf numFmtId="167" fontId="5" fillId="0" borderId="0" xfId="2" applyNumberFormat="1" applyFont="1" applyAlignment="1">
      <alignment horizontal="fill"/>
    </xf>
    <xf numFmtId="10" fontId="5" fillId="0" borderId="0" xfId="2" applyNumberFormat="1" applyFont="1" applyAlignment="1">
      <alignment horizontal="fill"/>
    </xf>
    <xf numFmtId="3" fontId="5" fillId="0" borderId="0" xfId="2" applyNumberFormat="1" applyFont="1" applyAlignment="1">
      <alignment horizontal="fill"/>
    </xf>
    <xf numFmtId="4" fontId="5" fillId="0" borderId="0" xfId="2" applyNumberFormat="1" applyFont="1" applyAlignment="1">
      <alignment horizontal="fill"/>
    </xf>
    <xf numFmtId="9" fontId="26" fillId="0" borderId="0" xfId="1" applyFont="1" applyAlignment="1">
      <alignment horizontal="center"/>
    </xf>
    <xf numFmtId="166" fontId="5" fillId="0" borderId="0" xfId="2" applyNumberFormat="1" applyFont="1" applyAlignment="1">
      <alignment horizontal="fill"/>
    </xf>
    <xf numFmtId="0" fontId="5" fillId="0" borderId="17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166" fontId="5" fillId="0" borderId="5" xfId="2" applyNumberFormat="1" applyFont="1" applyBorder="1" applyAlignment="1">
      <alignment horizontal="center"/>
    </xf>
    <xf numFmtId="0" fontId="5" fillId="0" borderId="5" xfId="2" applyFont="1" applyBorder="1"/>
    <xf numFmtId="0" fontId="5" fillId="0" borderId="5" xfId="2" applyFont="1" applyBorder="1" applyAlignment="1">
      <alignment horizontal="left"/>
    </xf>
    <xf numFmtId="0" fontId="5" fillId="0" borderId="18" xfId="2" applyFont="1" applyBorder="1"/>
    <xf numFmtId="0" fontId="5" fillId="0" borderId="17" xfId="2" applyFont="1" applyBorder="1"/>
    <xf numFmtId="10" fontId="5" fillId="0" borderId="5" xfId="2" applyNumberFormat="1" applyFont="1" applyBorder="1"/>
    <xf numFmtId="0" fontId="5" fillId="0" borderId="21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0" xfId="2" applyFont="1" applyAlignment="1">
      <alignment horizontal="center"/>
    </xf>
    <xf numFmtId="10" fontId="5" fillId="0" borderId="22" xfId="2" applyNumberFormat="1" applyFont="1" applyBorder="1" applyAlignment="1">
      <alignment horizontal="center"/>
    </xf>
    <xf numFmtId="167" fontId="5" fillId="0" borderId="21" xfId="2" applyNumberFormat="1" applyFont="1" applyBorder="1"/>
    <xf numFmtId="167" fontId="5" fillId="0" borderId="22" xfId="2" applyNumberFormat="1" applyFont="1" applyBorder="1"/>
    <xf numFmtId="167" fontId="5" fillId="0" borderId="21" xfId="2" applyNumberFormat="1" applyFont="1" applyBorder="1" applyAlignment="1">
      <alignment horizontal="center"/>
    </xf>
    <xf numFmtId="0" fontId="5" fillId="0" borderId="25" xfId="2" applyFont="1" applyBorder="1" applyAlignment="1">
      <alignment horizontal="center"/>
    </xf>
    <xf numFmtId="0" fontId="5" fillId="0" borderId="27" xfId="2" applyFont="1" applyBorder="1" applyAlignment="1">
      <alignment horizontal="center"/>
    </xf>
    <xf numFmtId="166" fontId="5" fillId="0" borderId="0" xfId="2" applyNumberFormat="1" applyFont="1" applyAlignment="1">
      <alignment horizontal="center"/>
    </xf>
    <xf numFmtId="167" fontId="5" fillId="0" borderId="28" xfId="2" applyNumberFormat="1" applyFont="1" applyBorder="1" applyAlignment="1">
      <alignment horizontal="center"/>
    </xf>
    <xf numFmtId="0" fontId="5" fillId="0" borderId="28" xfId="2" applyFont="1" applyBorder="1" applyAlignment="1">
      <alignment horizontal="center"/>
    </xf>
    <xf numFmtId="0" fontId="27" fillId="0" borderId="0" xfId="2" applyFont="1" applyAlignment="1">
      <alignment horizontal="center"/>
    </xf>
    <xf numFmtId="0" fontId="27" fillId="0" borderId="21" xfId="2" applyFont="1" applyBorder="1" applyAlignment="1">
      <alignment horizontal="center"/>
    </xf>
    <xf numFmtId="0" fontId="27" fillId="0" borderId="22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24" xfId="2" applyFont="1" applyBorder="1" applyAlignment="1">
      <alignment horizontal="center"/>
    </xf>
    <xf numFmtId="167" fontId="5" fillId="0" borderId="26" xfId="2" applyNumberFormat="1" applyFont="1" applyBorder="1" applyAlignment="1">
      <alignment horizontal="center"/>
    </xf>
    <xf numFmtId="167" fontId="5" fillId="0" borderId="25" xfId="2" applyNumberFormat="1" applyFont="1" applyBorder="1" applyAlignment="1">
      <alignment horizontal="center"/>
    </xf>
    <xf numFmtId="167" fontId="5" fillId="0" borderId="22" xfId="2" applyNumberFormat="1" applyFont="1" applyBorder="1" applyAlignment="1">
      <alignment horizontal="center"/>
    </xf>
    <xf numFmtId="10" fontId="27" fillId="0" borderId="27" xfId="2" applyNumberFormat="1" applyFont="1" applyBorder="1" applyAlignment="1">
      <alignment horizontal="center"/>
    </xf>
    <xf numFmtId="3" fontId="5" fillId="0" borderId="0" xfId="2" applyNumberFormat="1" applyFont="1" applyAlignment="1">
      <alignment horizontal="center"/>
    </xf>
    <xf numFmtId="4" fontId="5" fillId="0" borderId="0" xfId="2" applyNumberFormat="1" applyFont="1" applyAlignment="1">
      <alignment horizontal="center"/>
    </xf>
    <xf numFmtId="0" fontId="27" fillId="0" borderId="28" xfId="2" applyFont="1" applyBorder="1" applyAlignment="1">
      <alignment horizontal="center"/>
    </xf>
    <xf numFmtId="166" fontId="5" fillId="0" borderId="28" xfId="2" applyNumberFormat="1" applyFont="1" applyBorder="1" applyAlignment="1">
      <alignment horizontal="center"/>
    </xf>
    <xf numFmtId="0" fontId="27" fillId="0" borderId="23" xfId="2" applyFont="1" applyBorder="1" applyAlignment="1">
      <alignment horizontal="center"/>
    </xf>
    <xf numFmtId="0" fontId="27" fillId="0" borderId="24" xfId="2" applyFont="1" applyBorder="1" applyAlignment="1">
      <alignment horizontal="center"/>
    </xf>
    <xf numFmtId="0" fontId="27" fillId="0" borderId="25" xfId="2" applyFont="1" applyBorder="1" applyAlignment="1">
      <alignment horizontal="center"/>
    </xf>
    <xf numFmtId="167" fontId="27" fillId="0" borderId="26" xfId="2" applyNumberFormat="1" applyFont="1" applyBorder="1" applyAlignment="1">
      <alignment horizontal="center"/>
    </xf>
    <xf numFmtId="167" fontId="27" fillId="0" borderId="25" xfId="2" applyNumberFormat="1" applyFont="1" applyBorder="1" applyAlignment="1">
      <alignment horizontal="center"/>
    </xf>
    <xf numFmtId="167" fontId="27" fillId="0" borderId="22" xfId="2" applyNumberFormat="1" applyFont="1" applyBorder="1" applyAlignment="1">
      <alignment horizontal="center"/>
    </xf>
    <xf numFmtId="0" fontId="27" fillId="0" borderId="27" xfId="2" applyFont="1" applyBorder="1" applyAlignment="1">
      <alignment horizontal="center"/>
    </xf>
    <xf numFmtId="167" fontId="27" fillId="0" borderId="21" xfId="2" applyNumberFormat="1" applyFont="1" applyBorder="1" applyAlignment="1">
      <alignment horizontal="center"/>
    </xf>
    <xf numFmtId="3" fontId="27" fillId="0" borderId="26" xfId="2" applyNumberFormat="1" applyFont="1" applyBorder="1" applyAlignment="1">
      <alignment horizontal="center"/>
    </xf>
    <xf numFmtId="167" fontId="27" fillId="0" borderId="28" xfId="2" applyNumberFormat="1" applyFont="1" applyBorder="1" applyAlignment="1">
      <alignment horizontal="center"/>
    </xf>
    <xf numFmtId="3" fontId="27" fillId="0" borderId="0" xfId="2" applyNumberFormat="1" applyFont="1" applyAlignment="1">
      <alignment horizontal="center"/>
    </xf>
    <xf numFmtId="3" fontId="27" fillId="0" borderId="28" xfId="2" applyNumberFormat="1" applyFont="1" applyBorder="1" applyAlignment="1">
      <alignment horizontal="center"/>
    </xf>
    <xf numFmtId="4" fontId="27" fillId="0" borderId="28" xfId="2" applyNumberFormat="1" applyFont="1" applyBorder="1" applyAlignment="1">
      <alignment horizontal="center"/>
    </xf>
    <xf numFmtId="4" fontId="27" fillId="0" borderId="0" xfId="2" applyNumberFormat="1" applyFont="1" applyAlignment="1">
      <alignment horizontal="center"/>
    </xf>
    <xf numFmtId="10" fontId="27" fillId="0" borderId="0" xfId="2" applyNumberFormat="1" applyFont="1" applyAlignment="1">
      <alignment horizontal="center"/>
    </xf>
    <xf numFmtId="0" fontId="5" fillId="0" borderId="19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0" borderId="29" xfId="2" applyFont="1" applyBorder="1" applyAlignment="1">
      <alignment horizontal="center"/>
    </xf>
    <xf numFmtId="167" fontId="5" fillId="0" borderId="30" xfId="2" applyNumberFormat="1" applyFont="1" applyBorder="1" applyAlignment="1">
      <alignment horizontal="center"/>
    </xf>
    <xf numFmtId="0" fontId="5" fillId="0" borderId="31" xfId="2" applyFont="1" applyBorder="1" applyAlignment="1">
      <alignment horizontal="center"/>
    </xf>
    <xf numFmtId="0" fontId="5" fillId="0" borderId="32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10" fontId="5" fillId="0" borderId="4" xfId="2" applyNumberFormat="1" applyFont="1" applyBorder="1" applyAlignment="1">
      <alignment horizontal="center"/>
    </xf>
    <xf numFmtId="167" fontId="27" fillId="0" borderId="19" xfId="2" applyNumberFormat="1" applyFont="1" applyBorder="1" applyAlignment="1">
      <alignment horizontal="center"/>
    </xf>
    <xf numFmtId="3" fontId="27" fillId="0" borderId="32" xfId="2" applyNumberFormat="1" applyFont="1" applyBorder="1" applyAlignment="1">
      <alignment horizontal="center"/>
    </xf>
    <xf numFmtId="0" fontId="27" fillId="0" borderId="19" xfId="2" applyFont="1" applyBorder="1" applyAlignment="1">
      <alignment horizontal="center"/>
    </xf>
    <xf numFmtId="167" fontId="27" fillId="0" borderId="33" xfId="2" applyNumberFormat="1" applyFont="1" applyBorder="1" applyAlignment="1">
      <alignment horizontal="center"/>
    </xf>
    <xf numFmtId="3" fontId="27" fillId="0" borderId="6" xfId="2" applyNumberFormat="1" applyFont="1" applyBorder="1" applyAlignment="1">
      <alignment horizontal="center"/>
    </xf>
    <xf numFmtId="3" fontId="27" fillId="0" borderId="33" xfId="2" applyNumberFormat="1" applyFont="1" applyBorder="1" applyAlignment="1">
      <alignment horizontal="center"/>
    </xf>
    <xf numFmtId="4" fontId="27" fillId="0" borderId="33" xfId="2" applyNumberFormat="1" applyFont="1" applyBorder="1" applyAlignment="1">
      <alignment horizontal="center"/>
    </xf>
    <xf numFmtId="167" fontId="27" fillId="0" borderId="20" xfId="2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/>
    </xf>
    <xf numFmtId="0" fontId="27" fillId="0" borderId="33" xfId="2" applyFont="1" applyBorder="1" applyAlignment="1">
      <alignment horizontal="center"/>
    </xf>
    <xf numFmtId="166" fontId="5" fillId="0" borderId="33" xfId="2" applyNumberFormat="1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167" fontId="5" fillId="0" borderId="33" xfId="2" applyNumberFormat="1" applyFont="1" applyBorder="1" applyAlignment="1">
      <alignment horizontal="center"/>
    </xf>
    <xf numFmtId="0" fontId="5" fillId="0" borderId="33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0" fontId="27" fillId="0" borderId="20" xfId="2" applyFont="1" applyBorder="1" applyAlignment="1">
      <alignment horizontal="center"/>
    </xf>
    <xf numFmtId="10" fontId="27" fillId="0" borderId="6" xfId="2" applyNumberFormat="1" applyFont="1" applyBorder="1" applyAlignment="1">
      <alignment horizontal="center"/>
    </xf>
    <xf numFmtId="0" fontId="26" fillId="0" borderId="34" xfId="2" applyFont="1" applyBorder="1"/>
    <xf numFmtId="0" fontId="26" fillId="23" borderId="35" xfId="2" applyFont="1" applyFill="1" applyBorder="1" applyAlignment="1">
      <alignment horizontal="center"/>
    </xf>
    <xf numFmtId="49" fontId="26" fillId="23" borderId="35" xfId="2" applyNumberFormat="1" applyFont="1" applyFill="1" applyBorder="1" applyAlignment="1">
      <alignment horizontal="center"/>
    </xf>
    <xf numFmtId="165" fontId="26" fillId="23" borderId="35" xfId="2" applyNumberFormat="1" applyFont="1" applyFill="1" applyBorder="1" applyAlignment="1">
      <alignment horizontal="center"/>
    </xf>
    <xf numFmtId="166" fontId="26" fillId="23" borderId="35" xfId="2" applyNumberFormat="1" applyFont="1" applyFill="1" applyBorder="1" applyAlignment="1">
      <alignment horizontal="center"/>
    </xf>
    <xf numFmtId="2" fontId="5" fillId="0" borderId="35" xfId="2" applyNumberFormat="1" applyFont="1" applyBorder="1" applyAlignment="1">
      <alignment horizontal="center"/>
    </xf>
    <xf numFmtId="3" fontId="26" fillId="23" borderId="35" xfId="2" applyNumberFormat="1" applyFont="1" applyFill="1" applyBorder="1" applyAlignment="1">
      <alignment horizontal="center"/>
    </xf>
    <xf numFmtId="10" fontId="26" fillId="23" borderId="35" xfId="0" applyNumberFormat="1" applyFont="1" applyFill="1" applyBorder="1" applyAlignment="1">
      <alignment horizontal="center"/>
    </xf>
    <xf numFmtId="2" fontId="28" fillId="23" borderId="35" xfId="2" applyNumberFormat="1" applyFont="1" applyFill="1" applyBorder="1" applyAlignment="1">
      <alignment horizontal="center"/>
    </xf>
    <xf numFmtId="3" fontId="28" fillId="23" borderId="35" xfId="2" applyNumberFormat="1" applyFont="1" applyFill="1" applyBorder="1" applyAlignment="1">
      <alignment horizontal="center"/>
    </xf>
    <xf numFmtId="16" fontId="26" fillId="23" borderId="35" xfId="2" applyNumberFormat="1" applyFont="1" applyFill="1" applyBorder="1" applyAlignment="1">
      <alignment horizontal="center"/>
    </xf>
    <xf numFmtId="167" fontId="26" fillId="23" borderId="35" xfId="2" applyNumberFormat="1" applyFont="1" applyFill="1" applyBorder="1" applyAlignment="1">
      <alignment horizontal="center"/>
    </xf>
    <xf numFmtId="167" fontId="27" fillId="0" borderId="34" xfId="2" applyNumberFormat="1" applyFont="1" applyBorder="1" applyAlignment="1">
      <alignment horizontal="center"/>
    </xf>
    <xf numFmtId="3" fontId="27" fillId="0" borderId="34" xfId="2" applyNumberFormat="1" applyFont="1" applyBorder="1" applyAlignment="1">
      <alignment horizontal="center"/>
    </xf>
    <xf numFmtId="4" fontId="5" fillId="0" borderId="34" xfId="2" applyNumberFormat="1" applyFont="1" applyBorder="1" applyAlignment="1">
      <alignment horizontal="center"/>
    </xf>
    <xf numFmtId="167" fontId="27" fillId="24" borderId="34" xfId="2" applyNumberFormat="1" applyFont="1" applyFill="1" applyBorder="1" applyAlignment="1">
      <alignment horizontal="center"/>
    </xf>
    <xf numFmtId="174" fontId="27" fillId="0" borderId="35" xfId="2" applyNumberFormat="1" applyFont="1" applyBorder="1" applyAlignment="1">
      <alignment horizontal="center"/>
    </xf>
    <xf numFmtId="0" fontId="27" fillId="0" borderId="35" xfId="2" applyFont="1" applyBorder="1" applyAlignment="1">
      <alignment horizontal="center"/>
    </xf>
    <xf numFmtId="175" fontId="27" fillId="0" borderId="35" xfId="2" applyNumberFormat="1" applyFont="1" applyBorder="1" applyAlignment="1">
      <alignment horizontal="center"/>
    </xf>
    <xf numFmtId="166" fontId="27" fillId="0" borderId="35" xfId="2" applyNumberFormat="1" applyFont="1" applyBorder="1" applyAlignment="1">
      <alignment horizontal="center"/>
    </xf>
    <xf numFmtId="167" fontId="5" fillId="0" borderId="35" xfId="2" applyNumberFormat="1" applyFont="1" applyBorder="1" applyAlignment="1">
      <alignment horizontal="center"/>
    </xf>
    <xf numFmtId="174" fontId="28" fillId="0" borderId="35" xfId="2" applyNumberFormat="1" applyFont="1" applyBorder="1" applyAlignment="1">
      <alignment horizontal="center"/>
    </xf>
    <xf numFmtId="39" fontId="27" fillId="25" borderId="34" xfId="2" applyNumberFormat="1" applyFont="1" applyFill="1" applyBorder="1" applyAlignment="1">
      <alignment horizontal="center"/>
    </xf>
    <xf numFmtId="37" fontId="5" fillId="25" borderId="34" xfId="2" applyNumberFormat="1" applyFont="1" applyFill="1" applyBorder="1"/>
    <xf numFmtId="176" fontId="5" fillId="25" borderId="35" xfId="2" applyNumberFormat="1" applyFont="1" applyFill="1" applyBorder="1"/>
    <xf numFmtId="177" fontId="5" fillId="25" borderId="35" xfId="2" applyNumberFormat="1" applyFont="1" applyFill="1" applyBorder="1"/>
    <xf numFmtId="175" fontId="5" fillId="25" borderId="34" xfId="2" applyNumberFormat="1" applyFont="1" applyFill="1" applyBorder="1"/>
    <xf numFmtId="39" fontId="5" fillId="0" borderId="34" xfId="2" applyNumberFormat="1" applyFont="1" applyBorder="1" applyProtection="1">
      <protection locked="0"/>
    </xf>
    <xf numFmtId="178" fontId="5" fillId="0" borderId="34" xfId="2" applyNumberFormat="1" applyFont="1" applyBorder="1"/>
    <xf numFmtId="39" fontId="5" fillId="0" borderId="34" xfId="2" applyNumberFormat="1" applyFont="1" applyBorder="1"/>
    <xf numFmtId="177" fontId="5" fillId="0" borderId="34" xfId="2" applyNumberFormat="1" applyFont="1" applyBorder="1"/>
    <xf numFmtId="174" fontId="5" fillId="0" borderId="34" xfId="2" applyNumberFormat="1" applyFont="1" applyBorder="1"/>
    <xf numFmtId="179" fontId="5" fillId="0" borderId="35" xfId="2" applyNumberFormat="1" applyFont="1" applyBorder="1"/>
    <xf numFmtId="39" fontId="5" fillId="0" borderId="35" xfId="2" applyNumberFormat="1" applyFont="1" applyBorder="1"/>
    <xf numFmtId="175" fontId="5" fillId="0" borderId="35" xfId="2" applyNumberFormat="1" applyFont="1" applyBorder="1"/>
    <xf numFmtId="178" fontId="5" fillId="0" borderId="35" xfId="2" applyNumberFormat="1" applyFont="1" applyBorder="1"/>
    <xf numFmtId="177" fontId="5" fillId="0" borderId="35" xfId="2" applyNumberFormat="1" applyFont="1" applyBorder="1"/>
    <xf numFmtId="174" fontId="5" fillId="0" borderId="35" xfId="2" applyNumberFormat="1" applyFont="1" applyBorder="1"/>
    <xf numFmtId="0" fontId="5" fillId="0" borderId="34" xfId="2" applyFont="1" applyBorder="1"/>
    <xf numFmtId="39" fontId="27" fillId="0" borderId="34" xfId="2" applyNumberFormat="1" applyFont="1" applyBorder="1" applyAlignment="1">
      <alignment horizontal="center"/>
    </xf>
    <xf numFmtId="37" fontId="5" fillId="0" borderId="34" xfId="2" applyNumberFormat="1" applyFont="1" applyBorder="1"/>
    <xf numFmtId="10" fontId="5" fillId="0" borderId="34" xfId="2" applyNumberFormat="1" applyFont="1" applyBorder="1"/>
    <xf numFmtId="175" fontId="5" fillId="0" borderId="34" xfId="2" applyNumberFormat="1" applyFont="1" applyBorder="1"/>
    <xf numFmtId="39" fontId="5" fillId="0" borderId="35" xfId="2" applyNumberFormat="1" applyFont="1" applyBorder="1" applyProtection="1">
      <protection locked="0"/>
    </xf>
    <xf numFmtId="0" fontId="26" fillId="0" borderId="35" xfId="2" applyFont="1" applyBorder="1"/>
    <xf numFmtId="167" fontId="27" fillId="0" borderId="35" xfId="2" applyNumberFormat="1" applyFont="1" applyBorder="1" applyAlignment="1">
      <alignment horizontal="center"/>
    </xf>
    <xf numFmtId="3" fontId="27" fillId="0" borderId="35" xfId="2" applyNumberFormat="1" applyFont="1" applyBorder="1" applyAlignment="1">
      <alignment horizontal="center"/>
    </xf>
    <xf numFmtId="4" fontId="5" fillId="0" borderId="35" xfId="2" applyNumberFormat="1" applyFont="1" applyBorder="1" applyAlignment="1">
      <alignment horizontal="center"/>
    </xf>
    <xf numFmtId="39" fontId="27" fillId="25" borderId="35" xfId="2" applyNumberFormat="1" applyFont="1" applyFill="1" applyBorder="1" applyAlignment="1">
      <alignment horizontal="center"/>
    </xf>
    <xf numFmtId="37" fontId="5" fillId="25" borderId="35" xfId="2" applyNumberFormat="1" applyFont="1" applyFill="1" applyBorder="1"/>
    <xf numFmtId="175" fontId="5" fillId="25" borderId="35" xfId="2" applyNumberFormat="1" applyFont="1" applyFill="1" applyBorder="1"/>
    <xf numFmtId="0" fontId="5" fillId="0" borderId="35" xfId="2" applyFont="1" applyBorder="1"/>
    <xf numFmtId="39" fontId="27" fillId="0" borderId="35" xfId="2" applyNumberFormat="1" applyFont="1" applyBorder="1" applyAlignment="1">
      <alignment horizontal="center"/>
    </xf>
    <xf numFmtId="37" fontId="5" fillId="0" borderId="35" xfId="2" applyNumberFormat="1" applyFont="1" applyBorder="1"/>
    <xf numFmtId="10" fontId="5" fillId="0" borderId="35" xfId="2" applyNumberFormat="1" applyFont="1" applyBorder="1"/>
    <xf numFmtId="0" fontId="5" fillId="0" borderId="21" xfId="2" applyFont="1" applyBorder="1"/>
    <xf numFmtId="49" fontId="26" fillId="0" borderId="0" xfId="2" applyNumberFormat="1" applyFont="1" applyAlignment="1">
      <alignment horizontal="center"/>
    </xf>
    <xf numFmtId="0" fontId="5" fillId="0" borderId="22" xfId="2" applyFont="1" applyBorder="1"/>
    <xf numFmtId="165" fontId="26" fillId="0" borderId="0" xfId="2" applyNumberFormat="1" applyFont="1" applyAlignment="1">
      <alignment horizontal="center"/>
    </xf>
    <xf numFmtId="167" fontId="26" fillId="0" borderId="0" xfId="2" applyNumberFormat="1" applyFont="1" applyAlignment="1">
      <alignment horizontal="center"/>
    </xf>
    <xf numFmtId="180" fontId="26" fillId="0" borderId="0" xfId="2" applyNumberFormat="1" applyFont="1" applyAlignment="1">
      <alignment horizontal="center"/>
    </xf>
    <xf numFmtId="10" fontId="26" fillId="0" borderId="0" xfId="0" applyNumberFormat="1" applyFont="1" applyAlignment="1">
      <alignment horizontal="center"/>
    </xf>
    <xf numFmtId="2" fontId="26" fillId="0" borderId="0" xfId="2" applyNumberFormat="1" applyFont="1" applyAlignment="1">
      <alignment horizontal="center"/>
    </xf>
    <xf numFmtId="3" fontId="26" fillId="0" borderId="0" xfId="2" applyNumberFormat="1" applyFont="1" applyAlignment="1">
      <alignment horizontal="center"/>
    </xf>
    <xf numFmtId="167" fontId="27" fillId="0" borderId="0" xfId="2" applyNumberFormat="1" applyFont="1" applyAlignment="1">
      <alignment horizontal="center"/>
    </xf>
    <xf numFmtId="174" fontId="27" fillId="0" borderId="0" xfId="2" applyNumberFormat="1" applyFont="1" applyAlignment="1">
      <alignment horizontal="center"/>
    </xf>
    <xf numFmtId="175" fontId="27" fillId="0" borderId="0" xfId="2" applyNumberFormat="1" applyFont="1" applyAlignment="1">
      <alignment horizontal="center"/>
    </xf>
    <xf numFmtId="166" fontId="27" fillId="0" borderId="0" xfId="2" applyNumberFormat="1" applyFont="1" applyAlignment="1">
      <alignment horizontal="center"/>
    </xf>
    <xf numFmtId="165" fontId="27" fillId="0" borderId="0" xfId="2" applyNumberFormat="1" applyFont="1" applyAlignment="1">
      <alignment horizontal="center"/>
    </xf>
    <xf numFmtId="174" fontId="28" fillId="0" borderId="0" xfId="2" applyNumberFormat="1" applyFont="1" applyAlignment="1">
      <alignment horizontal="center"/>
    </xf>
    <xf numFmtId="39" fontId="27" fillId="0" borderId="0" xfId="2" applyNumberFormat="1" applyFont="1" applyAlignment="1">
      <alignment horizontal="center"/>
    </xf>
    <xf numFmtId="37" fontId="5" fillId="0" borderId="0" xfId="2" applyNumberFormat="1" applyFont="1"/>
    <xf numFmtId="176" fontId="5" fillId="0" borderId="0" xfId="2" applyNumberFormat="1" applyFont="1"/>
    <xf numFmtId="177" fontId="5" fillId="0" borderId="0" xfId="2" applyNumberFormat="1" applyFont="1"/>
    <xf numFmtId="175" fontId="5" fillId="0" borderId="0" xfId="2" applyNumberFormat="1" applyFont="1"/>
    <xf numFmtId="39" fontId="5" fillId="0" borderId="0" xfId="2" applyNumberFormat="1" applyFont="1" applyProtection="1">
      <protection locked="0"/>
    </xf>
    <xf numFmtId="178" fontId="5" fillId="0" borderId="0" xfId="2" applyNumberFormat="1" applyFont="1"/>
    <xf numFmtId="39" fontId="5" fillId="0" borderId="0" xfId="2" applyNumberFormat="1" applyFont="1"/>
    <xf numFmtId="174" fontId="5" fillId="0" borderId="0" xfId="2" applyNumberFormat="1" applyFont="1"/>
    <xf numFmtId="179" fontId="5" fillId="0" borderId="0" xfId="2" applyNumberFormat="1" applyFont="1"/>
    <xf numFmtId="3" fontId="28" fillId="0" borderId="0" xfId="2" applyNumberFormat="1" applyFont="1" applyAlignment="1">
      <alignment horizontal="center"/>
    </xf>
    <xf numFmtId="2" fontId="28" fillId="0" borderId="0" xfId="2" applyNumberFormat="1" applyFont="1" applyAlignment="1">
      <alignment horizontal="center"/>
    </xf>
    <xf numFmtId="3" fontId="28" fillId="0" borderId="0" xfId="2" applyNumberFormat="1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2" applyFont="1"/>
    <xf numFmtId="166" fontId="28" fillId="0" borderId="0" xfId="2" applyNumberFormat="1" applyFont="1" applyAlignment="1" applyProtection="1">
      <alignment horizontal="center"/>
      <protection locked="0"/>
    </xf>
    <xf numFmtId="0" fontId="26" fillId="0" borderId="0" xfId="2" applyFont="1" applyAlignment="1">
      <alignment horizontal="left"/>
    </xf>
    <xf numFmtId="2" fontId="5" fillId="0" borderId="0" xfId="2" applyNumberFormat="1" applyFont="1"/>
    <xf numFmtId="0" fontId="28" fillId="0" borderId="0" xfId="2" applyFont="1" applyAlignment="1">
      <alignment horizontal="left"/>
    </xf>
    <xf numFmtId="167" fontId="26" fillId="0" borderId="0" xfId="2" applyNumberFormat="1" applyFont="1" applyAlignment="1">
      <alignment horizontal="left"/>
    </xf>
    <xf numFmtId="0" fontId="26" fillId="0" borderId="1" xfId="2" applyFont="1" applyBorder="1" applyAlignment="1">
      <alignment horizontal="center"/>
    </xf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167" fontId="5" fillId="0" borderId="1" xfId="2" applyNumberFormat="1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1" xfId="0" applyFont="1" applyBorder="1"/>
    <xf numFmtId="0" fontId="2" fillId="0" borderId="22" xfId="0" applyFont="1" applyBorder="1"/>
    <xf numFmtId="0" fontId="2" fillId="0" borderId="19" xfId="0" applyFont="1" applyBorder="1"/>
    <xf numFmtId="0" fontId="2" fillId="0" borderId="7" xfId="0" applyFont="1" applyBorder="1"/>
    <xf numFmtId="168" fontId="2" fillId="0" borderId="8" xfId="0" applyNumberFormat="1" applyFont="1" applyBorder="1"/>
    <xf numFmtId="0" fontId="3" fillId="26" borderId="3" xfId="0" applyFont="1" applyFill="1" applyBorder="1"/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right"/>
    </xf>
    <xf numFmtId="10" fontId="2" fillId="0" borderId="6" xfId="0" applyNumberFormat="1" applyFont="1" applyBorder="1"/>
    <xf numFmtId="165" fontId="2" fillId="0" borderId="6" xfId="0" applyNumberFormat="1" applyFont="1" applyBorder="1"/>
    <xf numFmtId="0" fontId="2" fillId="0" borderId="6" xfId="0" applyFont="1" applyBorder="1"/>
    <xf numFmtId="0" fontId="3" fillId="0" borderId="17" xfId="0" applyFont="1" applyBorder="1"/>
    <xf numFmtId="0" fontId="2" fillId="0" borderId="5" xfId="0" applyFont="1" applyBorder="1"/>
    <xf numFmtId="165" fontId="2" fillId="0" borderId="21" xfId="0" applyNumberFormat="1" applyFont="1" applyBorder="1"/>
    <xf numFmtId="0" fontId="2" fillId="0" borderId="0" xfId="0" applyFont="1" applyAlignment="1">
      <alignment horizontal="right"/>
    </xf>
    <xf numFmtId="2" fontId="2" fillId="0" borderId="0" xfId="0" applyNumberFormat="1" applyFont="1"/>
    <xf numFmtId="10" fontId="2" fillId="0" borderId="0" xfId="1" applyNumberFormat="1" applyFont="1" applyBorder="1"/>
    <xf numFmtId="167" fontId="2" fillId="0" borderId="1" xfId="0" applyNumberFormat="1" applyFont="1" applyBorder="1"/>
    <xf numFmtId="166" fontId="3" fillId="26" borderId="37" xfId="0" applyNumberFormat="1" applyFont="1" applyFill="1" applyBorder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/>
    </xf>
    <xf numFmtId="0" fontId="32" fillId="0" borderId="0" xfId="0" applyFont="1"/>
    <xf numFmtId="0" fontId="29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Alignment="1">
      <alignment vertical="top"/>
    </xf>
    <xf numFmtId="182" fontId="2" fillId="27" borderId="38" xfId="0" applyNumberFormat="1" applyFont="1" applyFill="1" applyBorder="1" applyAlignment="1">
      <alignment horizontal="right" vertical="top" wrapText="1" indent="1"/>
    </xf>
    <xf numFmtId="182" fontId="2" fillId="27" borderId="27" xfId="0" applyNumberFormat="1" applyFont="1" applyFill="1" applyBorder="1" applyAlignment="1">
      <alignment horizontal="right" vertical="top" wrapText="1" indent="1"/>
    </xf>
    <xf numFmtId="0" fontId="33" fillId="27" borderId="0" xfId="0" applyFont="1" applyFill="1" applyAlignment="1">
      <alignment horizontal="left" vertical="top"/>
    </xf>
    <xf numFmtId="0" fontId="34" fillId="27" borderId="0" xfId="0" applyFont="1" applyFill="1"/>
    <xf numFmtId="0" fontId="2" fillId="27" borderId="1" xfId="0" applyFont="1" applyFill="1" applyBorder="1" applyAlignment="1">
      <alignment horizontal="center" vertical="top" wrapText="1"/>
    </xf>
    <xf numFmtId="0" fontId="2" fillId="27" borderId="1" xfId="0" applyFont="1" applyFill="1" applyBorder="1" applyAlignment="1">
      <alignment horizontal="center" vertical="center" wrapText="1"/>
    </xf>
    <xf numFmtId="0" fontId="34" fillId="27" borderId="0" xfId="0" applyFont="1" applyFill="1" applyAlignment="1">
      <alignment vertical="top"/>
    </xf>
    <xf numFmtId="0" fontId="2" fillId="27" borderId="38" xfId="0" applyFont="1" applyFill="1" applyBorder="1" applyAlignment="1">
      <alignment horizontal="center" vertical="top" wrapText="1"/>
    </xf>
    <xf numFmtId="0" fontId="2" fillId="27" borderId="27" xfId="0" applyFont="1" applyFill="1" applyBorder="1" applyAlignment="1">
      <alignment horizontal="center" vertical="top" wrapText="1"/>
    </xf>
    <xf numFmtId="0" fontId="2" fillId="27" borderId="4" xfId="0" applyFont="1" applyFill="1" applyBorder="1" applyAlignment="1">
      <alignment horizontal="center" vertical="top" wrapText="1"/>
    </xf>
    <xf numFmtId="181" fontId="2" fillId="0" borderId="17" xfId="0" applyNumberFormat="1" applyFont="1" applyBorder="1"/>
    <xf numFmtId="181" fontId="2" fillId="0" borderId="5" xfId="0" applyNumberFormat="1" applyFont="1" applyBorder="1"/>
    <xf numFmtId="181" fontId="2" fillId="0" borderId="19" xfId="0" applyNumberFormat="1" applyFont="1" applyBorder="1"/>
    <xf numFmtId="181" fontId="2" fillId="0" borderId="6" xfId="0" applyNumberFormat="1" applyFont="1" applyBorder="1"/>
    <xf numFmtId="181" fontId="2" fillId="0" borderId="0" xfId="0" applyNumberFormat="1" applyFont="1"/>
    <xf numFmtId="0" fontId="0" fillId="27" borderId="0" xfId="0" applyFill="1" applyAlignment="1">
      <alignment vertical="top"/>
    </xf>
    <xf numFmtId="0" fontId="2" fillId="27" borderId="0" xfId="0" applyFont="1" applyFill="1" applyAlignment="1">
      <alignment vertical="top"/>
    </xf>
    <xf numFmtId="165" fontId="2" fillId="27" borderId="38" xfId="0" applyNumberFormat="1" applyFont="1" applyFill="1" applyBorder="1" applyAlignment="1">
      <alignment horizontal="right" vertical="top" wrapText="1"/>
    </xf>
    <xf numFmtId="165" fontId="2" fillId="27" borderId="27" xfId="0" applyNumberFormat="1" applyFont="1" applyFill="1" applyBorder="1" applyAlignment="1">
      <alignment horizontal="right" vertical="top" wrapText="1"/>
    </xf>
    <xf numFmtId="165" fontId="2" fillId="27" borderId="4" xfId="0" applyNumberFormat="1" applyFont="1" applyFill="1" applyBorder="1" applyAlignment="1">
      <alignment horizontal="right" vertical="top" wrapText="1"/>
    </xf>
    <xf numFmtId="181" fontId="2" fillId="0" borderId="36" xfId="0" applyNumberFormat="1" applyFont="1" applyBorder="1"/>
    <xf numFmtId="183" fontId="2" fillId="0" borderId="0" xfId="0" applyNumberFormat="1" applyFont="1"/>
    <xf numFmtId="184" fontId="2" fillId="0" borderId="0" xfId="0" applyNumberFormat="1" applyFont="1"/>
    <xf numFmtId="185" fontId="2" fillId="0" borderId="0" xfId="0" applyNumberFormat="1" applyFont="1"/>
    <xf numFmtId="181" fontId="2" fillId="26" borderId="0" xfId="0" applyNumberFormat="1" applyFont="1" applyFill="1"/>
    <xf numFmtId="0" fontId="2" fillId="0" borderId="3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1" fontId="2" fillId="0" borderId="38" xfId="0" applyNumberFormat="1" applyFont="1" applyBorder="1" applyAlignment="1">
      <alignment horizontal="right" vertical="center" wrapText="1" indent="2"/>
    </xf>
    <xf numFmtId="181" fontId="2" fillId="0" borderId="27" xfId="0" applyNumberFormat="1" applyFont="1" applyBorder="1" applyAlignment="1">
      <alignment horizontal="right" vertical="center" wrapText="1" indent="2"/>
    </xf>
    <xf numFmtId="181" fontId="2" fillId="0" borderId="4" xfId="0" applyNumberFormat="1" applyFont="1" applyBorder="1" applyAlignment="1">
      <alignment horizontal="right" vertical="center" wrapText="1" indent="2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8" fontId="2" fillId="26" borderId="22" xfId="0" applyNumberFormat="1" applyFont="1" applyFill="1" applyBorder="1"/>
    <xf numFmtId="0" fontId="33" fillId="0" borderId="0" xfId="0" applyFont="1" applyAlignment="1">
      <alignment horizontal="left" vertical="top"/>
    </xf>
    <xf numFmtId="0" fontId="2" fillId="0" borderId="0" xfId="0" applyFont="1" applyAlignment="1">
      <alignment horizontal="center" wrapText="1"/>
    </xf>
    <xf numFmtId="181" fontId="2" fillId="0" borderId="0" xfId="0" applyNumberFormat="1" applyFont="1" applyAlignment="1">
      <alignment horizontal="right" wrapText="1" indent="2"/>
    </xf>
    <xf numFmtId="183" fontId="2" fillId="0" borderId="0" xfId="0" applyNumberFormat="1" applyFont="1" applyAlignment="1">
      <alignment horizontal="right" wrapText="1" indent="2"/>
    </xf>
    <xf numFmtId="181" fontId="2" fillId="0" borderId="0" xfId="0" applyNumberFormat="1" applyFont="1" applyAlignment="1">
      <alignment horizontal="right" vertical="top" wrapText="1" indent="2"/>
    </xf>
    <xf numFmtId="182" fontId="2" fillId="0" borderId="38" xfId="0" applyNumberFormat="1" applyFont="1" applyBorder="1" applyAlignment="1">
      <alignment horizontal="right" vertical="center" wrapText="1" indent="2"/>
    </xf>
    <xf numFmtId="182" fontId="2" fillId="0" borderId="27" xfId="0" applyNumberFormat="1" applyFont="1" applyBorder="1" applyAlignment="1">
      <alignment horizontal="right" vertical="center" wrapText="1" indent="2"/>
    </xf>
    <xf numFmtId="182" fontId="2" fillId="0" borderId="4" xfId="0" applyNumberFormat="1" applyFont="1" applyBorder="1" applyAlignment="1">
      <alignment horizontal="right" vertical="center" wrapText="1" indent="2"/>
    </xf>
    <xf numFmtId="165" fontId="2" fillId="28" borderId="1" xfId="0" applyNumberFormat="1" applyFont="1" applyFill="1" applyBorder="1"/>
    <xf numFmtId="4" fontId="2" fillId="28" borderId="1" xfId="0" applyNumberFormat="1" applyFont="1" applyFill="1" applyBorder="1"/>
    <xf numFmtId="167" fontId="2" fillId="28" borderId="1" xfId="0" applyNumberFormat="1" applyFont="1" applyFill="1" applyBorder="1"/>
    <xf numFmtId="168" fontId="0" fillId="0" borderId="0" xfId="0" applyNumberFormat="1"/>
    <xf numFmtId="4" fontId="3" fillId="29" borderId="21" xfId="0" applyNumberFormat="1" applyFont="1" applyFill="1" applyBorder="1"/>
    <xf numFmtId="0" fontId="3" fillId="29" borderId="0" xfId="0" applyFont="1" applyFill="1"/>
    <xf numFmtId="166" fontId="4" fillId="29" borderId="1" xfId="0" applyNumberFormat="1" applyFont="1" applyFill="1" applyBorder="1"/>
    <xf numFmtId="0" fontId="0" fillId="0" borderId="0" xfId="0" applyAlignment="1">
      <alignment horizontal="right"/>
    </xf>
    <xf numFmtId="0" fontId="0" fillId="26" borderId="0" xfId="0" applyFill="1"/>
    <xf numFmtId="167" fontId="5" fillId="30" borderId="21" xfId="2" applyNumberFormat="1" applyFont="1" applyFill="1" applyBorder="1" applyAlignment="1">
      <alignment horizontal="center"/>
    </xf>
    <xf numFmtId="167" fontId="5" fillId="30" borderId="21" xfId="2" quotePrefix="1" applyNumberFormat="1" applyFont="1" applyFill="1" applyBorder="1" applyAlignment="1">
      <alignment horizontal="center"/>
    </xf>
    <xf numFmtId="167" fontId="5" fillId="30" borderId="19" xfId="2" applyNumberFormat="1" applyFont="1" applyFill="1" applyBorder="1" applyAlignment="1">
      <alignment horizontal="center"/>
    </xf>
    <xf numFmtId="165" fontId="27" fillId="30" borderId="35" xfId="2" applyNumberFormat="1" applyFont="1" applyFill="1" applyBorder="1" applyAlignment="1">
      <alignment horizontal="center"/>
    </xf>
    <xf numFmtId="165" fontId="28" fillId="30" borderId="35" xfId="2" applyNumberFormat="1" applyFont="1" applyFill="1" applyBorder="1" applyAlignment="1">
      <alignment horizontal="center"/>
    </xf>
    <xf numFmtId="164" fontId="2" fillId="27" borderId="0" xfId="0" applyNumberFormat="1" applyFont="1" applyFill="1" applyAlignment="1">
      <alignment horizontal="center" vertical="top"/>
    </xf>
    <xf numFmtId="2" fontId="0" fillId="26" borderId="0" xfId="0" applyNumberFormat="1" applyFill="1"/>
    <xf numFmtId="181" fontId="2" fillId="27" borderId="38" xfId="0" applyNumberFormat="1" applyFont="1" applyFill="1" applyBorder="1" applyAlignment="1">
      <alignment horizontal="right" vertical="top" wrapText="1" indent="1"/>
    </xf>
    <xf numFmtId="181" fontId="2" fillId="27" borderId="27" xfId="0" applyNumberFormat="1" applyFont="1" applyFill="1" applyBorder="1" applyAlignment="1">
      <alignment horizontal="right" vertical="top" wrapText="1" indent="1"/>
    </xf>
    <xf numFmtId="181" fontId="2" fillId="27" borderId="4" xfId="0" applyNumberFormat="1" applyFont="1" applyFill="1" applyBorder="1" applyAlignment="1">
      <alignment horizontal="right" vertical="top" wrapText="1" indent="1"/>
    </xf>
    <xf numFmtId="167" fontId="3" fillId="26" borderId="2" xfId="0" applyNumberFormat="1" applyFont="1" applyFill="1" applyBorder="1"/>
    <xf numFmtId="0" fontId="2" fillId="28" borderId="21" xfId="0" applyFont="1" applyFill="1" applyBorder="1"/>
    <xf numFmtId="181" fontId="2" fillId="28" borderId="0" xfId="0" applyNumberFormat="1" applyFont="1" applyFill="1"/>
    <xf numFmtId="0" fontId="2" fillId="28" borderId="22" xfId="0" applyFont="1" applyFill="1" applyBorder="1"/>
    <xf numFmtId="182" fontId="2" fillId="0" borderId="0" xfId="0" applyNumberFormat="1" applyFont="1"/>
    <xf numFmtId="182" fontId="2" fillId="28" borderId="0" xfId="0" applyNumberFormat="1" applyFont="1" applyFill="1"/>
    <xf numFmtId="10" fontId="2" fillId="0" borderId="0" xfId="1" applyNumberFormat="1" applyFont="1"/>
    <xf numFmtId="0" fontId="2" fillId="27" borderId="1" xfId="0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top" wrapText="1"/>
    </xf>
    <xf numFmtId="181" fontId="2" fillId="0" borderId="1" xfId="0" applyNumberFormat="1" applyFont="1" applyBorder="1" applyAlignment="1">
      <alignment horizontal="center" vertical="center" wrapText="1"/>
    </xf>
    <xf numFmtId="181" fontId="2" fillId="0" borderId="0" xfId="0" applyNumberFormat="1" applyFont="1" applyAlignment="1">
      <alignment horizontal="center" vertical="center" wrapText="1"/>
    </xf>
    <xf numFmtId="0" fontId="26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167" fontId="5" fillId="0" borderId="5" xfId="2" applyNumberFormat="1" applyFont="1" applyBorder="1" applyAlignment="1">
      <alignment horizontal="center"/>
    </xf>
    <xf numFmtId="167" fontId="5" fillId="0" borderId="18" xfId="2" applyNumberFormat="1" applyFont="1" applyBorder="1" applyAlignment="1">
      <alignment horizontal="center"/>
    </xf>
    <xf numFmtId="167" fontId="5" fillId="0" borderId="17" xfId="2" applyNumberFormat="1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0" borderId="21" xfId="2" applyFont="1" applyBorder="1" applyAlignment="1">
      <alignment horizontal="center" wrapText="1"/>
    </xf>
    <xf numFmtId="0" fontId="5" fillId="0" borderId="0" xfId="2" applyFont="1" applyAlignment="1">
      <alignment horizontal="center" wrapText="1"/>
    </xf>
    <xf numFmtId="0" fontId="5" fillId="0" borderId="22" xfId="2" applyFont="1" applyBorder="1" applyAlignment="1">
      <alignment horizontal="center" wrapText="1"/>
    </xf>
    <xf numFmtId="10" fontId="5" fillId="0" borderId="21" xfId="2" applyNumberFormat="1" applyFont="1" applyBorder="1" applyAlignment="1">
      <alignment horizontal="center" vertical="center" wrapText="1"/>
    </xf>
    <xf numFmtId="10" fontId="5" fillId="0" borderId="0" xfId="2" applyNumberFormat="1" applyFont="1" applyAlignment="1">
      <alignment horizontal="center" vertical="center" wrapText="1"/>
    </xf>
    <xf numFmtId="10" fontId="5" fillId="0" borderId="22" xfId="2" applyNumberFormat="1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/>
    </xf>
    <xf numFmtId="0" fontId="5" fillId="0" borderId="24" xfId="2" applyFont="1" applyBorder="1" applyAlignment="1">
      <alignment horizontal="center"/>
    </xf>
    <xf numFmtId="0" fontId="5" fillId="0" borderId="25" xfId="2" applyFont="1" applyBorder="1" applyAlignment="1">
      <alignment horizontal="center"/>
    </xf>
    <xf numFmtId="0" fontId="5" fillId="0" borderId="26" xfId="2" applyFont="1" applyBorder="1" applyAlignment="1">
      <alignment horizontal="center"/>
    </xf>
    <xf numFmtId="167" fontId="5" fillId="0" borderId="21" xfId="2" applyNumberFormat="1" applyFont="1" applyBorder="1" applyAlignment="1">
      <alignment horizontal="center"/>
    </xf>
    <xf numFmtId="167" fontId="5" fillId="0" borderId="0" xfId="2" applyNumberFormat="1" applyFont="1" applyAlignment="1">
      <alignment horizontal="center"/>
    </xf>
    <xf numFmtId="167" fontId="5" fillId="0" borderId="22" xfId="2" applyNumberFormat="1" applyFont="1" applyBorder="1" applyAlignment="1">
      <alignment horizontal="center"/>
    </xf>
    <xf numFmtId="0" fontId="27" fillId="0" borderId="21" xfId="2" applyFont="1" applyBorder="1" applyAlignment="1">
      <alignment horizontal="center"/>
    </xf>
    <xf numFmtId="0" fontId="27" fillId="0" borderId="22" xfId="2" applyFont="1" applyBorder="1" applyAlignment="1">
      <alignment horizontal="center"/>
    </xf>
    <xf numFmtId="0" fontId="26" fillId="0" borderId="1" xfId="2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</cellXfs>
  <cellStyles count="5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Dia" xfId="30" xr:uid="{00000000-0005-0000-0000-00001B000000}"/>
    <cellStyle name="Encabez1" xfId="31" xr:uid="{00000000-0005-0000-0000-00001C000000}"/>
    <cellStyle name="Encabez2" xfId="32" xr:uid="{00000000-0005-0000-0000-00001D000000}"/>
    <cellStyle name="Euro" xfId="33" xr:uid="{00000000-0005-0000-0000-00001E000000}"/>
    <cellStyle name="Explanatory Text" xfId="34" xr:uid="{00000000-0005-0000-0000-00001F000000}"/>
    <cellStyle name="F2" xfId="35" xr:uid="{00000000-0005-0000-0000-000020000000}"/>
    <cellStyle name="F3" xfId="36" xr:uid="{00000000-0005-0000-0000-000021000000}"/>
    <cellStyle name="F4" xfId="37" xr:uid="{00000000-0005-0000-0000-000022000000}"/>
    <cellStyle name="F5" xfId="38" xr:uid="{00000000-0005-0000-0000-000023000000}"/>
    <cellStyle name="F6" xfId="39" xr:uid="{00000000-0005-0000-0000-000024000000}"/>
    <cellStyle name="F7" xfId="40" xr:uid="{00000000-0005-0000-0000-000025000000}"/>
    <cellStyle name="F8" xfId="41" xr:uid="{00000000-0005-0000-0000-000026000000}"/>
    <cellStyle name="Fijo" xfId="42" xr:uid="{00000000-0005-0000-0000-000027000000}"/>
    <cellStyle name="Financiero" xfId="43" xr:uid="{00000000-0005-0000-0000-000028000000}"/>
    <cellStyle name="Good" xfId="44" xr:uid="{00000000-0005-0000-0000-000029000000}"/>
    <cellStyle name="Heading 1" xfId="45" xr:uid="{00000000-0005-0000-0000-00002A000000}"/>
    <cellStyle name="Heading 2" xfId="46" xr:uid="{00000000-0005-0000-0000-00002B000000}"/>
    <cellStyle name="Heading 3" xfId="47" xr:uid="{00000000-0005-0000-0000-00002C000000}"/>
    <cellStyle name="Heading 4" xfId="48" xr:uid="{00000000-0005-0000-0000-00002D000000}"/>
    <cellStyle name="Input" xfId="49" xr:uid="{00000000-0005-0000-0000-00002E000000}"/>
    <cellStyle name="Linked Cell" xfId="50" xr:uid="{00000000-0005-0000-0000-00002F000000}"/>
    <cellStyle name="Monetario" xfId="51" xr:uid="{00000000-0005-0000-0000-000030000000}"/>
    <cellStyle name="Normal" xfId="0" builtinId="0"/>
    <cellStyle name="Normal 2" xfId="52" xr:uid="{00000000-0005-0000-0000-000032000000}"/>
    <cellStyle name="Normal 3" xfId="53" xr:uid="{00000000-0005-0000-0000-000033000000}"/>
    <cellStyle name="Normal_VERIF_COL_SMAPA1" xfId="2" xr:uid="{00000000-0005-0000-0000-000034000000}"/>
    <cellStyle name="Note" xfId="54" xr:uid="{00000000-0005-0000-0000-000035000000}"/>
    <cellStyle name="Output" xfId="55" xr:uid="{00000000-0005-0000-0000-000036000000}"/>
    <cellStyle name="Porcentaje" xfId="1" builtinId="5"/>
    <cellStyle name="Title" xfId="56" xr:uid="{00000000-0005-0000-0000-000038000000}"/>
    <cellStyle name="Warning Text" xfId="57" xr:uid="{00000000-0005-0000-0000-000039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2_2024\Anexo%203%20Proyecciones%20de%20Demanda\Archivos%20excel\0%20Tablas%20Demanda%20PD%20A%20D&#233;cima_2023_V3_FR_09.xlsx" TargetMode="External"/><Relationship Id="rId1" Type="http://schemas.microsoft.com/office/2006/relationships/xlExternalLinkPath/xlAlternateStartup" Target="Dropbox/AGUAS%20DECIMA/PD%202023/PD%20A.D&#233;cima_02_2024/Anexo%203%20Proyecciones%20de%20Demanda/Archivos%20excel/0%20Tablas%20Demanda%20PD%20A%20D&#233;cima_2023_V3_FR_09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R_23\Resumen%20PR23_VRA.xlsx" TargetMode="External"/><Relationship Id="rId1" Type="http://schemas.microsoft.com/office/2006/relationships/xlExternalLinkPath/xlAlternateStartup" Target="Dropbox/AGUAS%20DECIMA/PD%202023/PR_23/Resumen%20PR23_V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R_23\Lodos_PTAS_2022.xlsx" TargetMode="External"/><Relationship Id="rId1" Type="http://schemas.microsoft.com/office/2006/relationships/xlExternalLinkPath/xlAlternateStartup" Target="Dropbox/AGUAS%20DECIMA/PD%202023/PR_23/Lodos_PTAS_202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3_2023\Tablas%20Excel%20Informe\Tablas%20Cap%204\Balance%20EDAS%202023.xlsx" TargetMode="External"/><Relationship Id="rId1" Type="http://schemas.microsoft.com/office/2006/relationships/xlExternalLinkPath/xlAlternateStartup" Target="Dropbox/AGUAS%20DECIMA/PD%202023/PD%20A.D&#233;cima_03_2023/Tablas%20Excel%20Informe/Tablas%20Cap%204/Balance%20EDA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a 5 Guía PD Población"/>
      <sheetName val="Tabla 6 Guía PD Coef"/>
      <sheetName val="Tabla 7 Guía PD Dda Reg"/>
      <sheetName val="Tabla 8 Guía PD Dda 52 BIS"/>
      <sheetName val="Tabla 9 Guía PD Venta agua"/>
      <sheetName val="Tabla 10 Guía PD Dda Total"/>
      <sheetName val="Tabla 11-a Dda AS Tot"/>
      <sheetName val="Tabla 11-b Dda AS Tot"/>
      <sheetName val="Anexo Tabla 1"/>
      <sheetName val="Anexo Tabla 2"/>
      <sheetName val="Anexo Tabla 3"/>
      <sheetName val="Anexo Tabla 4"/>
      <sheetName val="Anexo Tabla 5"/>
      <sheetName val="Anexo Tabla 6"/>
      <sheetName val="Anexo Tabla 7"/>
      <sheetName val="Anexo Tabla 8"/>
      <sheetName val="Anexo Tabla 9"/>
      <sheetName val="Anexo Tabla 10"/>
      <sheetName val="Anexo Tabla 11 y 12"/>
      <sheetName val="Anexo Tabla 13"/>
      <sheetName val="Anexo Tabla 14"/>
      <sheetName val="Anexo Tabla 15"/>
      <sheetName val="Anexo Tabla 16"/>
      <sheetName val="Anexo Tabla 17"/>
      <sheetName val="Anexo Tabla 18"/>
      <sheetName val="Anexo Tabla 19"/>
      <sheetName val="Anexo Tabla 20"/>
      <sheetName val="Anexo Tabla 21"/>
      <sheetName val="Anexo Tabla 22"/>
      <sheetName val="Anexo Tabla 23"/>
      <sheetName val="Anexo Tabla 24"/>
      <sheetName val="Anexo Tabla 25"/>
      <sheetName val="Anexo Tabla 26"/>
      <sheetName val="Anexo Tabla 27 y 28"/>
      <sheetName val="Anexo Tabla 29"/>
      <sheetName val="Anexo Tabla 30"/>
      <sheetName val="Anexo Tabla 31"/>
      <sheetName val="Anexo Tabla 32"/>
      <sheetName val="Anexo Tabla 33"/>
      <sheetName val="Factor Estacional"/>
      <sheetName val="Volumen EDAS"/>
      <sheetName val="Ant Gra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O12">
            <v>297.93105034246582</v>
          </cell>
        </row>
        <row r="13">
          <cell r="O13">
            <v>304.56364691780823</v>
          </cell>
        </row>
        <row r="14">
          <cell r="O14">
            <v>313.28661404109579</v>
          </cell>
          <cell r="P14">
            <v>539.32686198969941</v>
          </cell>
        </row>
        <row r="15">
          <cell r="O15">
            <v>322.48425190056452</v>
          </cell>
          <cell r="P15">
            <v>554.27322169912554</v>
          </cell>
        </row>
        <row r="16">
          <cell r="O16">
            <v>329.43853992327934</v>
          </cell>
          <cell r="P16">
            <v>565.57657510223203</v>
          </cell>
        </row>
        <row r="17">
          <cell r="O17">
            <v>336.42406029113346</v>
          </cell>
          <cell r="P17">
            <v>576.90968792673732</v>
          </cell>
        </row>
        <row r="18">
          <cell r="O18">
            <v>343.49138691896701</v>
          </cell>
          <cell r="P18">
            <v>588.35798884907103</v>
          </cell>
        </row>
        <row r="19">
          <cell r="O19">
            <v>350.62781590189991</v>
          </cell>
          <cell r="P19">
            <v>599.90002958971104</v>
          </cell>
        </row>
        <row r="20">
          <cell r="O20">
            <v>357.85984099880591</v>
          </cell>
          <cell r="P20">
            <v>611.58024217174875</v>
          </cell>
        </row>
        <row r="21">
          <cell r="O21">
            <v>365.12101109782441</v>
          </cell>
          <cell r="P21">
            <v>623.28604366242985</v>
          </cell>
        </row>
        <row r="22">
          <cell r="O22">
            <v>372.46484180681523</v>
          </cell>
          <cell r="P22">
            <v>635.10745029125223</v>
          </cell>
        </row>
        <row r="23">
          <cell r="O23">
            <v>379.877774870905</v>
          </cell>
          <cell r="P23">
            <v>647.02105130224595</v>
          </cell>
        </row>
        <row r="24">
          <cell r="O24">
            <v>387.38753704200172</v>
          </cell>
          <cell r="P24">
            <v>659.07378193002603</v>
          </cell>
        </row>
        <row r="25">
          <cell r="O25">
            <v>394.92435687218489</v>
          </cell>
          <cell r="P25">
            <v>671.14602508429334</v>
          </cell>
        </row>
        <row r="26">
          <cell r="O26">
            <v>402.54469166233253</v>
          </cell>
          <cell r="P26">
            <v>683.33558553389742</v>
          </cell>
        </row>
        <row r="27">
          <cell r="O27">
            <v>410.2341288075794</v>
          </cell>
          <cell r="P27">
            <v>695.61508831649678</v>
          </cell>
        </row>
        <row r="28">
          <cell r="O28">
            <v>418.02162805286736</v>
          </cell>
          <cell r="P28">
            <v>708.03533703279732</v>
          </cell>
        </row>
        <row r="29">
          <cell r="E29">
            <v>165422.13935191286</v>
          </cell>
          <cell r="I29">
            <v>354.86174801184586</v>
          </cell>
          <cell r="O29">
            <v>425.83409761421501</v>
          </cell>
          <cell r="P29">
            <v>720.47094172237837</v>
          </cell>
        </row>
        <row r="30">
          <cell r="O30">
            <v>433.73093648551946</v>
          </cell>
          <cell r="P30">
            <v>733.02298140294249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(2022)"/>
      <sheetName val="RESUMEN"/>
      <sheetName val="Resumen 2022 (eflu)"/>
      <sheetName val="Resumen 2022"/>
      <sheetName val="Resumen 2021 (eflu)"/>
      <sheetName val="Resumen 2021"/>
      <sheetName val="Resumen 2020 (eflu)"/>
      <sheetName val="Resumen 2020"/>
      <sheetName val="Resumen 2017"/>
      <sheetName val="Resumen 2016"/>
      <sheetName val="Resumen 2015"/>
      <sheetName val="Emisores 2017"/>
      <sheetName val="Emisores 2016"/>
      <sheetName val="Emisores 2015"/>
      <sheetName val="Resumen Vol 2017"/>
      <sheetName val="Resumen Vol 2016"/>
      <sheetName val="Resumen Vol 2015"/>
      <sheetName val="Resumen Vol 2020"/>
      <sheetName val="Resumen Vol 2021"/>
      <sheetName val="Resumen Vol 2022"/>
      <sheetName val="Aux SST_2022"/>
      <sheetName val="Aux SST_2021"/>
      <sheetName val="Aux SST_2020"/>
      <sheetName val="Aux_VBPD_V2"/>
      <sheetName val="Aux VBPD_V1"/>
    </sheetNames>
    <sheetDataSet>
      <sheetData sheetId="0">
        <row r="6">
          <cell r="B6">
            <v>363.15905631659058</v>
          </cell>
        </row>
        <row r="7">
          <cell r="B7">
            <v>345.66980593607303</v>
          </cell>
        </row>
        <row r="8">
          <cell r="B8">
            <v>386.34911212582449</v>
          </cell>
        </row>
        <row r="24">
          <cell r="E24">
            <v>149.57853669701154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S4" t="str">
            <v>Etiquetas de fila</v>
          </cell>
        </row>
      </sheetData>
      <sheetData sheetId="18">
        <row r="4">
          <cell r="T4" t="str">
            <v>Etiquetas de fila</v>
          </cell>
        </row>
      </sheetData>
      <sheetData sheetId="19">
        <row r="4">
          <cell r="S4" t="str">
            <v>Etiquetas de fila</v>
          </cell>
        </row>
      </sheetData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dos-Resumen-2022"/>
      <sheetName val="Lodos-Enero-2022"/>
      <sheetName val="Lodos-Febrero-2022"/>
      <sheetName val="Lodos-Marzo-2022"/>
      <sheetName val="Lodos-Abril-2022"/>
      <sheetName val="Lodos-Mayo-2022"/>
      <sheetName val="Lodos-Junio-2022"/>
      <sheetName val="Lodos-Julio-2022"/>
      <sheetName val="Lodos-Agosto-2022"/>
      <sheetName val="Lodos-Septiembre-2022"/>
      <sheetName val="Lodos-Octubre-2022"/>
      <sheetName val="Lodos-Noviembre-2022"/>
      <sheetName val="Lodos-Diciembre-2022"/>
    </sheetNames>
    <sheetDataSet>
      <sheetData sheetId="0">
        <row r="1187">
          <cell r="M1187">
            <v>69.423703703703708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tamiento Preliminar "/>
      <sheetName val="Tratamiento Primario"/>
      <sheetName val="Tratamiento Biológico (NO)"/>
      <sheetName val="Desinfección"/>
      <sheetName val="Lodos"/>
      <sheetName val="Conducciones de Disposición"/>
      <sheetName val="Colector Disposición"/>
    </sheetNames>
    <sheetDataSet>
      <sheetData sheetId="0"/>
      <sheetData sheetId="1"/>
      <sheetData sheetId="2"/>
      <sheetData sheetId="3"/>
      <sheetData sheetId="4"/>
      <sheetData sheetId="5">
        <row r="17">
          <cell r="L17">
            <v>2543.5729999999999</v>
          </cell>
        </row>
        <row r="20">
          <cell r="L20">
            <v>2.2947252152778789E-3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51"/>
  <sheetViews>
    <sheetView topLeftCell="A37" zoomScale="120" zoomScaleNormal="120" workbookViewId="0">
      <selection activeCell="C39" sqref="C39:E50"/>
    </sheetView>
  </sheetViews>
  <sheetFormatPr baseColWidth="10" defaultRowHeight="13.2" x14ac:dyDescent="0.25"/>
  <cols>
    <col min="1" max="1" width="6.21875" customWidth="1"/>
  </cols>
  <sheetData>
    <row r="3" spans="2:5" ht="13.8" x14ac:dyDescent="0.25">
      <c r="B3" s="225" t="s">
        <v>159</v>
      </c>
    </row>
    <row r="4" spans="2:5" ht="13.8" x14ac:dyDescent="0.25">
      <c r="B4" s="225" t="s">
        <v>153</v>
      </c>
    </row>
    <row r="5" spans="2:5" ht="13.8" x14ac:dyDescent="0.25">
      <c r="B5" s="225" t="s">
        <v>154</v>
      </c>
    </row>
    <row r="6" spans="2:5" ht="13.8" x14ac:dyDescent="0.25">
      <c r="B6" s="233" t="s">
        <v>183</v>
      </c>
      <c r="C6" s="237"/>
      <c r="D6" s="237"/>
      <c r="E6" s="237"/>
    </row>
    <row r="7" spans="2:5" ht="13.8" x14ac:dyDescent="0.25">
      <c r="B7" s="233" t="s">
        <v>184</v>
      </c>
      <c r="C7" s="237"/>
      <c r="D7" s="237"/>
      <c r="E7" s="237"/>
    </row>
    <row r="8" spans="2:5" ht="13.8" x14ac:dyDescent="0.25">
      <c r="B8" s="233" t="s">
        <v>157</v>
      </c>
      <c r="C8" s="237"/>
      <c r="D8" s="237"/>
      <c r="E8" s="237"/>
    </row>
    <row r="9" spans="2:5" ht="39.6" x14ac:dyDescent="0.25">
      <c r="B9" s="236" t="s">
        <v>0</v>
      </c>
      <c r="C9" s="235" t="s">
        <v>182</v>
      </c>
      <c r="D9" s="235" t="s">
        <v>181</v>
      </c>
      <c r="E9" s="235" t="s">
        <v>180</v>
      </c>
    </row>
    <row r="10" spans="2:5" x14ac:dyDescent="0.25">
      <c r="B10" s="238">
        <v>2022</v>
      </c>
      <c r="C10" s="290">
        <f>535*0+580</f>
        <v>580</v>
      </c>
      <c r="D10" s="290">
        <f>+'[1]Tabla 11-a Dda AS Tot'!P14</f>
        <v>539.32686198969941</v>
      </c>
      <c r="E10" s="290">
        <f t="shared" ref="E10:E25" si="0">+C10-D10</f>
        <v>40.67313801030059</v>
      </c>
    </row>
    <row r="11" spans="2:5" x14ac:dyDescent="0.25">
      <c r="B11" s="239">
        <f t="shared" ref="B11:B26" si="1">+B10+1</f>
        <v>2023</v>
      </c>
      <c r="C11" s="291">
        <f t="shared" ref="C11:C26" si="2">+C10</f>
        <v>580</v>
      </c>
      <c r="D11" s="291">
        <f>+'[1]Tabla 11-a Dda AS Tot'!P15</f>
        <v>554.27322169912554</v>
      </c>
      <c r="E11" s="291">
        <f t="shared" si="0"/>
        <v>25.726778300874457</v>
      </c>
    </row>
    <row r="12" spans="2:5" x14ac:dyDescent="0.25">
      <c r="B12" s="239">
        <f t="shared" si="1"/>
        <v>2024</v>
      </c>
      <c r="C12" s="291">
        <f t="shared" si="2"/>
        <v>580</v>
      </c>
      <c r="D12" s="291">
        <f>+'[1]Tabla 11-a Dda AS Tot'!P16</f>
        <v>565.57657510223203</v>
      </c>
      <c r="E12" s="291">
        <f t="shared" si="0"/>
        <v>14.423424897767973</v>
      </c>
    </row>
    <row r="13" spans="2:5" x14ac:dyDescent="0.25">
      <c r="B13" s="239">
        <f t="shared" si="1"/>
        <v>2025</v>
      </c>
      <c r="C13" s="291">
        <f t="shared" si="2"/>
        <v>580</v>
      </c>
      <c r="D13" s="291">
        <f>+'[1]Tabla 11-a Dda AS Tot'!P17</f>
        <v>576.90968792673732</v>
      </c>
      <c r="E13" s="291">
        <f t="shared" si="0"/>
        <v>3.0903120732626803</v>
      </c>
    </row>
    <row r="14" spans="2:5" x14ac:dyDescent="0.25">
      <c r="B14" s="239">
        <f t="shared" si="1"/>
        <v>2026</v>
      </c>
      <c r="C14" s="291">
        <f t="shared" si="2"/>
        <v>580</v>
      </c>
      <c r="D14" s="291">
        <f>+'[1]Tabla 11-a Dda AS Tot'!P18</f>
        <v>588.35798884907103</v>
      </c>
      <c r="E14" s="291">
        <f t="shared" si="0"/>
        <v>-8.3579888490710346</v>
      </c>
    </row>
    <row r="15" spans="2:5" x14ac:dyDescent="0.25">
      <c r="B15" s="239">
        <f t="shared" si="1"/>
        <v>2027</v>
      </c>
      <c r="C15" s="291">
        <f t="shared" si="2"/>
        <v>580</v>
      </c>
      <c r="D15" s="291">
        <f>+'[1]Tabla 11-a Dda AS Tot'!P19</f>
        <v>599.90002958971104</v>
      </c>
      <c r="E15" s="291">
        <f t="shared" si="0"/>
        <v>-19.900029589711039</v>
      </c>
    </row>
    <row r="16" spans="2:5" x14ac:dyDescent="0.25">
      <c r="B16" s="239">
        <f t="shared" si="1"/>
        <v>2028</v>
      </c>
      <c r="C16" s="291">
        <f t="shared" si="2"/>
        <v>580</v>
      </c>
      <c r="D16" s="291">
        <f>+'[1]Tabla 11-a Dda AS Tot'!P20</f>
        <v>611.58024217174875</v>
      </c>
      <c r="E16" s="291">
        <f t="shared" si="0"/>
        <v>-31.58024217174875</v>
      </c>
    </row>
    <row r="17" spans="2:5" x14ac:dyDescent="0.25">
      <c r="B17" s="239">
        <f t="shared" si="1"/>
        <v>2029</v>
      </c>
      <c r="C17" s="291">
        <f t="shared" si="2"/>
        <v>580</v>
      </c>
      <c r="D17" s="291">
        <f>+'[1]Tabla 11-a Dda AS Tot'!P21</f>
        <v>623.28604366242985</v>
      </c>
      <c r="E17" s="291">
        <f t="shared" si="0"/>
        <v>-43.286043662429847</v>
      </c>
    </row>
    <row r="18" spans="2:5" x14ac:dyDescent="0.25">
      <c r="B18" s="239">
        <f t="shared" si="1"/>
        <v>2030</v>
      </c>
      <c r="C18" s="291">
        <f t="shared" si="2"/>
        <v>580</v>
      </c>
      <c r="D18" s="291">
        <f>+'[1]Tabla 11-a Dda AS Tot'!P22</f>
        <v>635.10745029125223</v>
      </c>
      <c r="E18" s="291">
        <f t="shared" si="0"/>
        <v>-55.107450291252235</v>
      </c>
    </row>
    <row r="19" spans="2:5" x14ac:dyDescent="0.25">
      <c r="B19" s="239">
        <f t="shared" si="1"/>
        <v>2031</v>
      </c>
      <c r="C19" s="291">
        <f t="shared" si="2"/>
        <v>580</v>
      </c>
      <c r="D19" s="291">
        <f>+'[1]Tabla 11-a Dda AS Tot'!P23</f>
        <v>647.02105130224595</v>
      </c>
      <c r="E19" s="291">
        <f t="shared" si="0"/>
        <v>-67.021051302245951</v>
      </c>
    </row>
    <row r="20" spans="2:5" x14ac:dyDescent="0.25">
      <c r="B20" s="239">
        <f t="shared" si="1"/>
        <v>2032</v>
      </c>
      <c r="C20" s="291">
        <f t="shared" si="2"/>
        <v>580</v>
      </c>
      <c r="D20" s="291">
        <f>+'[1]Tabla 11-a Dda AS Tot'!P24</f>
        <v>659.07378193002603</v>
      </c>
      <c r="E20" s="291">
        <f t="shared" si="0"/>
        <v>-79.07378193002603</v>
      </c>
    </row>
    <row r="21" spans="2:5" x14ac:dyDescent="0.25">
      <c r="B21" s="239">
        <f t="shared" si="1"/>
        <v>2033</v>
      </c>
      <c r="C21" s="291">
        <f t="shared" si="2"/>
        <v>580</v>
      </c>
      <c r="D21" s="291">
        <f>+'[1]Tabla 11-a Dda AS Tot'!P25</f>
        <v>671.14602508429334</v>
      </c>
      <c r="E21" s="291">
        <f t="shared" si="0"/>
        <v>-91.146025084293342</v>
      </c>
    </row>
    <row r="22" spans="2:5" x14ac:dyDescent="0.25">
      <c r="B22" s="239">
        <f t="shared" si="1"/>
        <v>2034</v>
      </c>
      <c r="C22" s="291">
        <f t="shared" si="2"/>
        <v>580</v>
      </c>
      <c r="D22" s="291">
        <f>+'[1]Tabla 11-a Dda AS Tot'!P26</f>
        <v>683.33558553389742</v>
      </c>
      <c r="E22" s="291">
        <f t="shared" si="0"/>
        <v>-103.33558553389742</v>
      </c>
    </row>
    <row r="23" spans="2:5" x14ac:dyDescent="0.25">
      <c r="B23" s="239">
        <f t="shared" si="1"/>
        <v>2035</v>
      </c>
      <c r="C23" s="291">
        <f t="shared" si="2"/>
        <v>580</v>
      </c>
      <c r="D23" s="291">
        <f>+'[1]Tabla 11-a Dda AS Tot'!P27</f>
        <v>695.61508831649678</v>
      </c>
      <c r="E23" s="291">
        <f t="shared" si="0"/>
        <v>-115.61508831649678</v>
      </c>
    </row>
    <row r="24" spans="2:5" x14ac:dyDescent="0.25">
      <c r="B24" s="239">
        <f t="shared" si="1"/>
        <v>2036</v>
      </c>
      <c r="C24" s="291">
        <f t="shared" si="2"/>
        <v>580</v>
      </c>
      <c r="D24" s="291">
        <f>+'[1]Tabla 11-a Dda AS Tot'!P28</f>
        <v>708.03533703279732</v>
      </c>
      <c r="E24" s="291">
        <f t="shared" si="0"/>
        <v>-128.03533703279732</v>
      </c>
    </row>
    <row r="25" spans="2:5" x14ac:dyDescent="0.25">
      <c r="B25" s="240">
        <f t="shared" si="1"/>
        <v>2037</v>
      </c>
      <c r="C25" s="292">
        <f t="shared" si="2"/>
        <v>580</v>
      </c>
      <c r="D25" s="292">
        <f>+'[1]Tabla 11-a Dda AS Tot'!P29</f>
        <v>720.47094172237837</v>
      </c>
      <c r="E25" s="292">
        <f t="shared" si="0"/>
        <v>-140.47094172237837</v>
      </c>
    </row>
    <row r="26" spans="2:5" x14ac:dyDescent="0.25">
      <c r="B26" s="240">
        <f t="shared" si="1"/>
        <v>2038</v>
      </c>
      <c r="C26" s="292">
        <f t="shared" si="2"/>
        <v>580</v>
      </c>
      <c r="D26" s="292">
        <f>+'[1]Tabla 11-a Dda AS Tot'!P30</f>
        <v>733.02298140294249</v>
      </c>
      <c r="E26" s="292">
        <f t="shared" ref="E26" si="3">+C26-D26</f>
        <v>-153.02298140294249</v>
      </c>
    </row>
    <row r="28" spans="2:5" ht="13.8" x14ac:dyDescent="0.25">
      <c r="B28" s="226" t="s">
        <v>160</v>
      </c>
    </row>
    <row r="29" spans="2:5" ht="13.8" x14ac:dyDescent="0.25">
      <c r="B29" s="226" t="s">
        <v>153</v>
      </c>
    </row>
    <row r="30" spans="2:5" ht="13.8" x14ac:dyDescent="0.25">
      <c r="B30" s="226" t="s">
        <v>158</v>
      </c>
    </row>
    <row r="31" spans="2:5" ht="13.8" x14ac:dyDescent="0.3">
      <c r="B31" s="233" t="s">
        <v>183</v>
      </c>
      <c r="C31" s="234"/>
      <c r="D31" s="234"/>
      <c r="E31" s="234"/>
    </row>
    <row r="32" spans="2:5" ht="13.8" x14ac:dyDescent="0.3">
      <c r="B32" s="233" t="s">
        <v>184</v>
      </c>
      <c r="C32" s="234"/>
      <c r="D32" s="234"/>
      <c r="E32" s="234"/>
    </row>
    <row r="33" spans="2:7" ht="13.8" x14ac:dyDescent="0.3">
      <c r="B33" s="233" t="s">
        <v>157</v>
      </c>
      <c r="C33" s="234"/>
      <c r="D33" s="234"/>
      <c r="E33" s="234"/>
      <c r="F33" s="227"/>
      <c r="G33" s="227"/>
    </row>
    <row r="34" spans="2:7" ht="39.6" x14ac:dyDescent="0.25">
      <c r="B34" s="236" t="s">
        <v>0</v>
      </c>
      <c r="C34" s="235" t="s">
        <v>185</v>
      </c>
      <c r="D34" s="235" t="s">
        <v>186</v>
      </c>
      <c r="E34" s="235" t="s">
        <v>187</v>
      </c>
    </row>
    <row r="35" spans="2:7" x14ac:dyDescent="0.25">
      <c r="B35" s="238">
        <f>+'Tratamiento Preliminar '!B10</f>
        <v>2022</v>
      </c>
      <c r="C35" s="290"/>
      <c r="D35" s="290"/>
      <c r="E35" s="290"/>
    </row>
    <row r="36" spans="2:7" x14ac:dyDescent="0.25">
      <c r="B36" s="239">
        <f t="shared" ref="B36:B51" si="4">+B35+1</f>
        <v>2023</v>
      </c>
      <c r="C36" s="291"/>
      <c r="D36" s="291"/>
      <c r="E36" s="291"/>
    </row>
    <row r="37" spans="2:7" x14ac:dyDescent="0.25">
      <c r="B37" s="239">
        <f t="shared" si="4"/>
        <v>2024</v>
      </c>
      <c r="C37" s="291"/>
      <c r="D37" s="291"/>
      <c r="E37" s="291"/>
    </row>
    <row r="38" spans="2:7" x14ac:dyDescent="0.25">
      <c r="B38" s="239">
        <f t="shared" si="4"/>
        <v>2025</v>
      </c>
      <c r="C38" s="291"/>
      <c r="D38" s="291"/>
      <c r="E38" s="291"/>
    </row>
    <row r="39" spans="2:7" x14ac:dyDescent="0.25">
      <c r="B39" s="239">
        <f t="shared" si="4"/>
        <v>2026</v>
      </c>
      <c r="C39" s="291">
        <f>+IF('Tratamiento Preliminar '!E14&gt;0,,-'Tratamiento Preliminar '!E14)</f>
        <v>8.3579888490710346</v>
      </c>
      <c r="D39" s="291">
        <v>160</v>
      </c>
      <c r="E39" s="291">
        <f t="shared" ref="E39:E41" si="5">+D39-C39</f>
        <v>151.64201115092897</v>
      </c>
    </row>
    <row r="40" spans="2:7" x14ac:dyDescent="0.25">
      <c r="B40" s="239">
        <f t="shared" si="4"/>
        <v>2027</v>
      </c>
      <c r="C40" s="291">
        <f>+IF('Tratamiento Preliminar '!E15&gt;0,,-'Tratamiento Preliminar '!E15)</f>
        <v>19.900029589711039</v>
      </c>
      <c r="D40" s="291">
        <f>+D39</f>
        <v>160</v>
      </c>
      <c r="E40" s="291">
        <f t="shared" si="5"/>
        <v>140.09997041028896</v>
      </c>
    </row>
    <row r="41" spans="2:7" x14ac:dyDescent="0.25">
      <c r="B41" s="239">
        <f t="shared" si="4"/>
        <v>2028</v>
      </c>
      <c r="C41" s="291">
        <f>+IF('Tratamiento Preliminar '!E16&gt;0,,-'Tratamiento Preliminar '!E16)</f>
        <v>31.58024217174875</v>
      </c>
      <c r="D41" s="291">
        <f t="shared" ref="D41:D48" si="6">+D40</f>
        <v>160</v>
      </c>
      <c r="E41" s="291">
        <f t="shared" si="5"/>
        <v>128.41975782825125</v>
      </c>
    </row>
    <row r="42" spans="2:7" x14ac:dyDescent="0.25">
      <c r="B42" s="239">
        <f t="shared" si="4"/>
        <v>2029</v>
      </c>
      <c r="C42" s="291">
        <f>+IF('Tratamiento Preliminar '!E17&gt;0,,-'Tratamiento Preliminar '!E17)</f>
        <v>43.286043662429847</v>
      </c>
      <c r="D42" s="291">
        <f t="shared" si="6"/>
        <v>160</v>
      </c>
      <c r="E42" s="291">
        <f t="shared" ref="E42:E50" si="7">+D42-C42</f>
        <v>116.71395633757015</v>
      </c>
    </row>
    <row r="43" spans="2:7" x14ac:dyDescent="0.25">
      <c r="B43" s="239">
        <f t="shared" si="4"/>
        <v>2030</v>
      </c>
      <c r="C43" s="291">
        <f>+IF('Tratamiento Preliminar '!E18&gt;0,,-'Tratamiento Preliminar '!E18)</f>
        <v>55.107450291252235</v>
      </c>
      <c r="D43" s="291">
        <f t="shared" si="6"/>
        <v>160</v>
      </c>
      <c r="E43" s="291">
        <f t="shared" si="7"/>
        <v>104.89254970874777</v>
      </c>
    </row>
    <row r="44" spans="2:7" x14ac:dyDescent="0.25">
      <c r="B44" s="239">
        <f t="shared" si="4"/>
        <v>2031</v>
      </c>
      <c r="C44" s="291">
        <f>+IF('Tratamiento Preliminar '!E19&gt;0,,-'Tratamiento Preliminar '!E19)</f>
        <v>67.021051302245951</v>
      </c>
      <c r="D44" s="291">
        <f t="shared" si="6"/>
        <v>160</v>
      </c>
      <c r="E44" s="291">
        <f t="shared" si="7"/>
        <v>92.978948697754049</v>
      </c>
    </row>
    <row r="45" spans="2:7" x14ac:dyDescent="0.25">
      <c r="B45" s="239">
        <f t="shared" si="4"/>
        <v>2032</v>
      </c>
      <c r="C45" s="291">
        <f>+IF('Tratamiento Preliminar '!E20&gt;0,,-'Tratamiento Preliminar '!E20)</f>
        <v>79.07378193002603</v>
      </c>
      <c r="D45" s="291">
        <f t="shared" si="6"/>
        <v>160</v>
      </c>
      <c r="E45" s="291">
        <f t="shared" si="7"/>
        <v>80.92621806997397</v>
      </c>
    </row>
    <row r="46" spans="2:7" x14ac:dyDescent="0.25">
      <c r="B46" s="239">
        <f t="shared" si="4"/>
        <v>2033</v>
      </c>
      <c r="C46" s="291">
        <f>+IF('Tratamiento Preliminar '!E21&gt;0,,-'Tratamiento Preliminar '!E21)</f>
        <v>91.146025084293342</v>
      </c>
      <c r="D46" s="291">
        <f t="shared" si="6"/>
        <v>160</v>
      </c>
      <c r="E46" s="291">
        <f t="shared" si="7"/>
        <v>68.853974915706658</v>
      </c>
    </row>
    <row r="47" spans="2:7" x14ac:dyDescent="0.25">
      <c r="B47" s="239">
        <f t="shared" si="4"/>
        <v>2034</v>
      </c>
      <c r="C47" s="291">
        <f>+IF('Tratamiento Preliminar '!E22&gt;0,,-'Tratamiento Preliminar '!E22)</f>
        <v>103.33558553389742</v>
      </c>
      <c r="D47" s="291">
        <f t="shared" si="6"/>
        <v>160</v>
      </c>
      <c r="E47" s="291">
        <f t="shared" si="7"/>
        <v>56.664414466102585</v>
      </c>
    </row>
    <row r="48" spans="2:7" x14ac:dyDescent="0.25">
      <c r="B48" s="239">
        <f t="shared" si="4"/>
        <v>2035</v>
      </c>
      <c r="C48" s="291">
        <f>+IF('Tratamiento Preliminar '!E23&gt;0,,-'Tratamiento Preliminar '!E23)</f>
        <v>115.61508831649678</v>
      </c>
      <c r="D48" s="291">
        <f t="shared" si="6"/>
        <v>160</v>
      </c>
      <c r="E48" s="291">
        <f t="shared" si="7"/>
        <v>44.384911683503219</v>
      </c>
    </row>
    <row r="49" spans="2:5" x14ac:dyDescent="0.25">
      <c r="B49" s="239">
        <f t="shared" si="4"/>
        <v>2036</v>
      </c>
      <c r="C49" s="291">
        <f>+IF('Tratamiento Preliminar '!E24&gt;0,,-'Tratamiento Preliminar '!E24)</f>
        <v>128.03533703279732</v>
      </c>
      <c r="D49" s="291">
        <f t="shared" ref="D49:D51" si="8">+D48</f>
        <v>160</v>
      </c>
      <c r="E49" s="291">
        <f t="shared" si="7"/>
        <v>31.964662967202685</v>
      </c>
    </row>
    <row r="50" spans="2:5" x14ac:dyDescent="0.25">
      <c r="B50" s="240">
        <f t="shared" si="4"/>
        <v>2037</v>
      </c>
      <c r="C50" s="292">
        <f>+IF('Tratamiento Preliminar '!E25&gt;0,,-'Tratamiento Preliminar '!E25)</f>
        <v>140.47094172237837</v>
      </c>
      <c r="D50" s="292">
        <f t="shared" si="8"/>
        <v>160</v>
      </c>
      <c r="E50" s="292">
        <f t="shared" si="7"/>
        <v>19.52905827762163</v>
      </c>
    </row>
    <row r="51" spans="2:5" x14ac:dyDescent="0.25">
      <c r="B51" s="240">
        <f t="shared" si="4"/>
        <v>2038</v>
      </c>
      <c r="C51" s="292">
        <f>+IF('Tratamiento Preliminar '!E26&gt;0,,-'Tratamiento Preliminar '!E26)</f>
        <v>153.02298140294249</v>
      </c>
      <c r="D51" s="292">
        <f t="shared" si="8"/>
        <v>160</v>
      </c>
      <c r="E51" s="292">
        <f t="shared" ref="E51" si="9">+D51-C51</f>
        <v>6.9770185970575085</v>
      </c>
    </row>
  </sheetData>
  <conditionalFormatting sqref="E10:E26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51"/>
  <sheetViews>
    <sheetView topLeftCell="A28" zoomScaleNormal="100" workbookViewId="0">
      <selection activeCell="C39" sqref="C39:E50"/>
    </sheetView>
  </sheetViews>
  <sheetFormatPr baseColWidth="10" defaultRowHeight="13.2" x14ac:dyDescent="0.25"/>
  <cols>
    <col min="1" max="1" width="7.21875" customWidth="1"/>
  </cols>
  <sheetData>
    <row r="3" spans="2:12" ht="14.4" thickBot="1" x14ac:dyDescent="0.35">
      <c r="B3" s="225" t="s">
        <v>161</v>
      </c>
      <c r="I3" s="1"/>
      <c r="J3" s="1"/>
      <c r="K3" s="1"/>
      <c r="L3" s="1"/>
    </row>
    <row r="4" spans="2:12" ht="14.4" thickBot="1" x14ac:dyDescent="0.35">
      <c r="B4" s="225" t="s">
        <v>153</v>
      </c>
      <c r="I4" s="293">
        <f>+'[2]RESUMEN (2022)'!$E$24</f>
        <v>149.57853669701154</v>
      </c>
      <c r="J4" s="209" t="s">
        <v>3</v>
      </c>
      <c r="K4" s="3"/>
      <c r="L4" s="1"/>
    </row>
    <row r="5" spans="2:12" ht="13.8" x14ac:dyDescent="0.3">
      <c r="B5" s="225" t="s">
        <v>162</v>
      </c>
      <c r="I5" s="14"/>
      <c r="J5" s="1"/>
      <c r="K5" s="3"/>
      <c r="L5" s="1"/>
    </row>
    <row r="6" spans="2:12" ht="13.8" x14ac:dyDescent="0.25">
      <c r="B6" s="233" t="s">
        <v>183</v>
      </c>
      <c r="C6" s="237"/>
      <c r="D6" s="237"/>
      <c r="E6" s="237"/>
    </row>
    <row r="7" spans="2:12" ht="13.8" x14ac:dyDescent="0.25">
      <c r="B7" s="233" t="s">
        <v>184</v>
      </c>
      <c r="C7" s="237"/>
      <c r="D7" s="237"/>
      <c r="E7" s="237"/>
    </row>
    <row r="8" spans="2:12" ht="13.8" x14ac:dyDescent="0.25">
      <c r="B8" s="233" t="s">
        <v>163</v>
      </c>
      <c r="C8" s="237"/>
      <c r="D8" s="237"/>
      <c r="E8" s="237"/>
    </row>
    <row r="9" spans="2:12" ht="39.6" x14ac:dyDescent="0.25">
      <c r="B9" s="236" t="s">
        <v>0</v>
      </c>
      <c r="C9" s="235" t="s">
        <v>199</v>
      </c>
      <c r="D9" s="235" t="s">
        <v>200</v>
      </c>
      <c r="E9" s="235" t="s">
        <v>1</v>
      </c>
    </row>
    <row r="10" spans="2:12" ht="13.8" x14ac:dyDescent="0.3">
      <c r="B10" s="238">
        <f>+'Tratamiento Preliminar '!B10</f>
        <v>2022</v>
      </c>
      <c r="C10" s="290">
        <v>4786.5600000000004</v>
      </c>
      <c r="D10" s="290">
        <f>+'Tratamiento Primario'!$I$4*Desinfección!D10*86.4/1000</f>
        <v>4048.7863646904657</v>
      </c>
      <c r="E10" s="290">
        <f t="shared" ref="E10:E25" si="0">+C10-D10</f>
        <v>737.77363530953471</v>
      </c>
      <c r="I10" s="1"/>
      <c r="J10" s="1"/>
      <c r="K10" s="1"/>
    </row>
    <row r="11" spans="2:12" ht="13.8" x14ac:dyDescent="0.3">
      <c r="B11" s="239">
        <f t="shared" ref="B11:B26" si="1">+B10+1</f>
        <v>2023</v>
      </c>
      <c r="C11" s="291">
        <f t="shared" ref="C11:C26" si="2">+C10</f>
        <v>4786.5600000000004</v>
      </c>
      <c r="D11" s="291">
        <f>+'Tratamiento Primario'!$I$4*Desinfección!D11*86.4/1000</f>
        <v>4167.652824614901</v>
      </c>
      <c r="E11" s="291">
        <f t="shared" si="0"/>
        <v>618.90717538509944</v>
      </c>
      <c r="I11" s="241">
        <f>+J11*I12/J12</f>
        <v>110.34482758620689</v>
      </c>
      <c r="J11" s="242">
        <f>+'Tratamiento Preliminar '!D42</f>
        <v>160</v>
      </c>
      <c r="K11" s="15"/>
    </row>
    <row r="12" spans="2:12" ht="13.8" x14ac:dyDescent="0.3">
      <c r="B12" s="239">
        <f t="shared" si="1"/>
        <v>2024</v>
      </c>
      <c r="C12" s="291">
        <f t="shared" si="2"/>
        <v>4786.5600000000004</v>
      </c>
      <c r="D12" s="291">
        <f>+'Tratamiento Primario'!$I$4*Desinfección!D12*86.4/1000</f>
        <v>4257.5271609592055</v>
      </c>
      <c r="E12" s="291">
        <f t="shared" si="0"/>
        <v>529.0328390407949</v>
      </c>
      <c r="I12" s="243">
        <f>+Desinfección!C10</f>
        <v>400</v>
      </c>
      <c r="J12" s="244">
        <f>+'Tratamiento Preliminar '!C10</f>
        <v>580</v>
      </c>
      <c r="K12" s="16">
        <f>+I12/J12</f>
        <v>0.68965517241379315</v>
      </c>
    </row>
    <row r="13" spans="2:12" ht="13.8" x14ac:dyDescent="0.3">
      <c r="B13" s="239">
        <f t="shared" si="1"/>
        <v>2025</v>
      </c>
      <c r="C13" s="291">
        <f t="shared" si="2"/>
        <v>4786.5600000000004</v>
      </c>
      <c r="D13" s="291">
        <f>+'Tratamiento Primario'!$I$4*Desinfección!D13*86.4/1000</f>
        <v>4347.8051311884901</v>
      </c>
      <c r="E13" s="291">
        <f t="shared" si="0"/>
        <v>438.75486881151028</v>
      </c>
      <c r="I13" s="245"/>
      <c r="J13" s="245"/>
      <c r="K13" s="1"/>
    </row>
    <row r="14" spans="2:12" ht="13.8" x14ac:dyDescent="0.3">
      <c r="B14" s="239">
        <f t="shared" si="1"/>
        <v>2026</v>
      </c>
      <c r="C14" s="291">
        <f t="shared" si="2"/>
        <v>4786.5600000000004</v>
      </c>
      <c r="D14" s="291">
        <f>+'Tratamiento Primario'!$I$4*Desinfección!D14*86.4/1000</f>
        <v>4439.1403316188307</v>
      </c>
      <c r="E14" s="291">
        <f t="shared" si="0"/>
        <v>347.41966838116969</v>
      </c>
      <c r="I14" s="241">
        <f>+'Tratamiento Primario'!C10</f>
        <v>4786.5600000000004</v>
      </c>
      <c r="J14" s="242">
        <f>+I12</f>
        <v>400</v>
      </c>
      <c r="K14" s="15"/>
    </row>
    <row r="15" spans="2:12" ht="13.8" x14ac:dyDescent="0.3">
      <c r="B15" s="239">
        <f t="shared" si="1"/>
        <v>2027</v>
      </c>
      <c r="C15" s="291">
        <f t="shared" si="2"/>
        <v>4786.5600000000004</v>
      </c>
      <c r="D15" s="291">
        <f>+'Tratamiento Primario'!$I$4*Desinfección!D15*86.4/1000</f>
        <v>4531.3685822484294</v>
      </c>
      <c r="E15" s="291">
        <f t="shared" si="0"/>
        <v>255.19141775157095</v>
      </c>
      <c r="I15" s="243">
        <f>+I14*J15/J14</f>
        <v>1320.4303448275864</v>
      </c>
      <c r="J15" s="244">
        <f>+I11</f>
        <v>110.34482758620689</v>
      </c>
      <c r="K15" s="17"/>
    </row>
    <row r="16" spans="2:12" x14ac:dyDescent="0.25">
      <c r="B16" s="239">
        <f t="shared" si="1"/>
        <v>2028</v>
      </c>
      <c r="C16" s="291">
        <f t="shared" si="2"/>
        <v>4786.5600000000004</v>
      </c>
      <c r="D16" s="291">
        <f>+'Tratamiento Primario'!$I$4*Desinfección!D16*86.4/1000</f>
        <v>4624.8322774371791</v>
      </c>
      <c r="E16" s="291">
        <f t="shared" si="0"/>
        <v>161.72772256282133</v>
      </c>
    </row>
    <row r="17" spans="2:11" x14ac:dyDescent="0.25">
      <c r="B17" s="239">
        <f t="shared" si="1"/>
        <v>2029</v>
      </c>
      <c r="C17" s="291">
        <f t="shared" si="2"/>
        <v>4786.5600000000004</v>
      </c>
      <c r="D17" s="291">
        <f>+'Tratamiento Primario'!$I$4*Desinfección!D17*86.4/1000</f>
        <v>4718.6726305546854</v>
      </c>
      <c r="E17" s="291">
        <f t="shared" si="0"/>
        <v>67.887369445315016</v>
      </c>
    </row>
    <row r="18" spans="2:11" x14ac:dyDescent="0.25">
      <c r="B18" s="239">
        <f t="shared" si="1"/>
        <v>2030</v>
      </c>
      <c r="C18" s="291">
        <f t="shared" si="2"/>
        <v>4786.5600000000004</v>
      </c>
      <c r="D18" s="291">
        <f>+'Tratamiento Primario'!$I$4*Desinfección!D18*86.4/1000</f>
        <v>4813.5812551384888</v>
      </c>
      <c r="E18" s="291">
        <f t="shared" si="0"/>
        <v>-27.021255138488414</v>
      </c>
      <c r="H18">
        <f>+I18/J18</f>
        <v>1.6461538461538461</v>
      </c>
      <c r="I18">
        <v>535</v>
      </c>
      <c r="J18">
        <v>325</v>
      </c>
      <c r="K18">
        <v>3888</v>
      </c>
    </row>
    <row r="19" spans="2:11" x14ac:dyDescent="0.25">
      <c r="B19" s="239">
        <f t="shared" si="1"/>
        <v>2031</v>
      </c>
      <c r="C19" s="291">
        <f t="shared" si="2"/>
        <v>4786.5600000000004</v>
      </c>
      <c r="D19" s="291">
        <f>+'Tratamiento Primario'!$I$4*Desinfección!D19*86.4/1000</f>
        <v>4909.382929921544</v>
      </c>
      <c r="E19" s="291">
        <f t="shared" si="0"/>
        <v>-122.82292992154362</v>
      </c>
      <c r="H19">
        <f>+I19/J19</f>
        <v>1.45</v>
      </c>
      <c r="I19">
        <v>580</v>
      </c>
      <c r="J19">
        <v>400</v>
      </c>
    </row>
    <row r="20" spans="2:11" x14ac:dyDescent="0.25">
      <c r="B20" s="239">
        <f t="shared" si="1"/>
        <v>2032</v>
      </c>
      <c r="C20" s="291">
        <f t="shared" si="2"/>
        <v>4786.5600000000004</v>
      </c>
      <c r="D20" s="291">
        <f>+'Tratamiento Primario'!$I$4*Desinfección!D20*86.4/1000</f>
        <v>5006.4359839547315</v>
      </c>
      <c r="E20" s="291">
        <f t="shared" si="0"/>
        <v>-219.87598395473105</v>
      </c>
      <c r="I20">
        <v>110</v>
      </c>
    </row>
    <row r="21" spans="2:11" x14ac:dyDescent="0.25">
      <c r="B21" s="239">
        <f t="shared" si="1"/>
        <v>2033</v>
      </c>
      <c r="C21" s="291">
        <f t="shared" si="2"/>
        <v>4786.5600000000004</v>
      </c>
      <c r="D21" s="291">
        <f>+'Tratamiento Primario'!$I$4*Desinfección!D21*86.4/1000</f>
        <v>5103.8387199604622</v>
      </c>
      <c r="E21" s="291">
        <f t="shared" si="0"/>
        <v>-317.27871996046179</v>
      </c>
    </row>
    <row r="22" spans="2:11" x14ac:dyDescent="0.25">
      <c r="B22" s="239">
        <f t="shared" si="1"/>
        <v>2034</v>
      </c>
      <c r="C22" s="291">
        <f t="shared" si="2"/>
        <v>4786.5600000000004</v>
      </c>
      <c r="D22" s="291">
        <f>+'Tratamiento Primario'!$I$4*Desinfección!D22*86.4/1000</f>
        <v>5202.3207686977221</v>
      </c>
      <c r="E22" s="291">
        <f t="shared" si="0"/>
        <v>-415.76076869772169</v>
      </c>
    </row>
    <row r="23" spans="2:11" x14ac:dyDescent="0.25">
      <c r="B23" s="239">
        <f t="shared" si="1"/>
        <v>2035</v>
      </c>
      <c r="C23" s="291">
        <f t="shared" si="2"/>
        <v>4786.5600000000004</v>
      </c>
      <c r="D23" s="291">
        <f>+'Tratamiento Primario'!$I$4*Desinfección!D23*86.4/1000</f>
        <v>5301.6958676342374</v>
      </c>
      <c r="E23" s="291">
        <f t="shared" si="0"/>
        <v>-515.135867634237</v>
      </c>
    </row>
    <row r="24" spans="2:11" x14ac:dyDescent="0.25">
      <c r="B24" s="239">
        <f t="shared" si="1"/>
        <v>2036</v>
      </c>
      <c r="C24" s="291">
        <f t="shared" si="2"/>
        <v>4786.5600000000004</v>
      </c>
      <c r="D24" s="291">
        <f>+'Tratamiento Primario'!$I$4*Desinfección!D24*86.4/1000</f>
        <v>5402.338280511869</v>
      </c>
      <c r="E24" s="291">
        <f t="shared" si="0"/>
        <v>-615.77828051186862</v>
      </c>
    </row>
    <row r="25" spans="2:11" x14ac:dyDescent="0.25">
      <c r="B25" s="240">
        <f t="shared" si="1"/>
        <v>2037</v>
      </c>
      <c r="C25" s="292">
        <f t="shared" si="2"/>
        <v>4786.5600000000004</v>
      </c>
      <c r="D25" s="292">
        <f>+'Tratamiento Primario'!$I$4*Desinfección!D25*86.4/1000</f>
        <v>5503.3033994058233</v>
      </c>
      <c r="E25" s="292">
        <f t="shared" si="0"/>
        <v>-716.74339940582286</v>
      </c>
    </row>
    <row r="26" spans="2:11" x14ac:dyDescent="0.25">
      <c r="B26" s="240">
        <f t="shared" si="1"/>
        <v>2038</v>
      </c>
      <c r="C26" s="292">
        <f t="shared" si="2"/>
        <v>4786.5600000000004</v>
      </c>
      <c r="D26" s="292">
        <f>+'Tratamiento Primario'!$I$4*Desinfección!D26*86.4/1000</f>
        <v>5605.3588722965387</v>
      </c>
      <c r="E26" s="292">
        <f t="shared" ref="E26" si="3">+C26-D26</f>
        <v>-818.79887229653832</v>
      </c>
    </row>
    <row r="28" spans="2:11" ht="13.8" x14ac:dyDescent="0.25">
      <c r="B28" s="225" t="s">
        <v>164</v>
      </c>
    </row>
    <row r="29" spans="2:11" ht="13.8" x14ac:dyDescent="0.25">
      <c r="B29" s="225" t="s">
        <v>153</v>
      </c>
    </row>
    <row r="30" spans="2:11" ht="13.8" x14ac:dyDescent="0.25">
      <c r="B30" s="225" t="s">
        <v>158</v>
      </c>
    </row>
    <row r="31" spans="2:11" ht="13.8" x14ac:dyDescent="0.25">
      <c r="B31" s="233" t="s">
        <v>183</v>
      </c>
      <c r="C31" s="237"/>
      <c r="D31" s="237"/>
      <c r="E31" s="237"/>
    </row>
    <row r="32" spans="2:11" ht="13.8" x14ac:dyDescent="0.25">
      <c r="B32" s="233" t="s">
        <v>184</v>
      </c>
      <c r="C32" s="237"/>
      <c r="D32" s="237"/>
      <c r="E32" s="237"/>
    </row>
    <row r="33" spans="2:5" ht="13.8" x14ac:dyDescent="0.25">
      <c r="B33" s="233" t="s">
        <v>163</v>
      </c>
      <c r="C33" s="237"/>
      <c r="D33" s="237"/>
      <c r="E33" s="237"/>
    </row>
    <row r="34" spans="2:5" ht="26.4" x14ac:dyDescent="0.25">
      <c r="B34" s="236" t="s">
        <v>0</v>
      </c>
      <c r="C34" s="235" t="s">
        <v>174</v>
      </c>
      <c r="D34" s="235" t="s">
        <v>2</v>
      </c>
      <c r="E34" s="235" t="s">
        <v>175</v>
      </c>
    </row>
    <row r="35" spans="2:5" x14ac:dyDescent="0.25">
      <c r="B35" s="238">
        <f>+'Tratamiento Primario'!B10</f>
        <v>2022</v>
      </c>
      <c r="C35" s="231"/>
      <c r="D35" s="231"/>
      <c r="E35" s="231"/>
    </row>
    <row r="36" spans="2:5" x14ac:dyDescent="0.25">
      <c r="B36" s="239">
        <f t="shared" ref="B36:B51" si="4">+B35+1</f>
        <v>2023</v>
      </c>
      <c r="C36" s="232"/>
      <c r="D36" s="232"/>
      <c r="E36" s="232"/>
    </row>
    <row r="37" spans="2:5" x14ac:dyDescent="0.25">
      <c r="B37" s="239">
        <f t="shared" si="4"/>
        <v>2024</v>
      </c>
      <c r="C37" s="232"/>
      <c r="D37" s="232"/>
      <c r="E37" s="232"/>
    </row>
    <row r="38" spans="2:5" x14ac:dyDescent="0.25">
      <c r="B38" s="239">
        <f t="shared" si="4"/>
        <v>2025</v>
      </c>
      <c r="C38" s="232"/>
      <c r="D38" s="232"/>
      <c r="E38" s="232"/>
    </row>
    <row r="39" spans="2:5" x14ac:dyDescent="0.25">
      <c r="B39" s="239">
        <f t="shared" si="4"/>
        <v>2026</v>
      </c>
      <c r="C39" s="291">
        <f>+IF('Tratamiento Primario'!E14&gt;0,,-'Tratamiento Primario'!E14)</f>
        <v>0</v>
      </c>
      <c r="D39" s="291">
        <f>+I15</f>
        <v>1320.4303448275864</v>
      </c>
      <c r="E39" s="291">
        <f t="shared" ref="E39:E41" si="5">+D39-C39</f>
        <v>1320.4303448275864</v>
      </c>
    </row>
    <row r="40" spans="2:5" x14ac:dyDescent="0.25">
      <c r="B40" s="239">
        <f t="shared" si="4"/>
        <v>2027</v>
      </c>
      <c r="C40" s="291">
        <f>+IF('Tratamiento Primario'!E15&gt;0,,-'Tratamiento Primario'!E15)</f>
        <v>0</v>
      </c>
      <c r="D40" s="291">
        <f>+D39</f>
        <v>1320.4303448275864</v>
      </c>
      <c r="E40" s="291">
        <f t="shared" si="5"/>
        <v>1320.4303448275864</v>
      </c>
    </row>
    <row r="41" spans="2:5" x14ac:dyDescent="0.25">
      <c r="B41" s="239">
        <f t="shared" si="4"/>
        <v>2028</v>
      </c>
      <c r="C41" s="291">
        <f>+IF('Tratamiento Primario'!E16&gt;0,,-'Tratamiento Primario'!E16)</f>
        <v>0</v>
      </c>
      <c r="D41" s="291">
        <f t="shared" ref="D41:D48" si="6">+D40</f>
        <v>1320.4303448275864</v>
      </c>
      <c r="E41" s="291">
        <f t="shared" si="5"/>
        <v>1320.4303448275864</v>
      </c>
    </row>
    <row r="42" spans="2:5" x14ac:dyDescent="0.25">
      <c r="B42" s="239">
        <f t="shared" si="4"/>
        <v>2029</v>
      </c>
      <c r="C42" s="291">
        <f>+IF('Tratamiento Primario'!E17&gt;0,,-'Tratamiento Primario'!E17)</f>
        <v>0</v>
      </c>
      <c r="D42" s="291">
        <f t="shared" si="6"/>
        <v>1320.4303448275864</v>
      </c>
      <c r="E42" s="291">
        <f t="shared" ref="E42:E50" si="7">+D42-C42</f>
        <v>1320.4303448275864</v>
      </c>
    </row>
    <row r="43" spans="2:5" x14ac:dyDescent="0.25">
      <c r="B43" s="239">
        <f t="shared" si="4"/>
        <v>2030</v>
      </c>
      <c r="C43" s="291">
        <f>+IF('Tratamiento Primario'!E18&gt;0,,-'Tratamiento Primario'!E18)</f>
        <v>27.021255138488414</v>
      </c>
      <c r="D43" s="291">
        <f t="shared" si="6"/>
        <v>1320.4303448275864</v>
      </c>
      <c r="E43" s="291">
        <f t="shared" si="7"/>
        <v>1293.409089689098</v>
      </c>
    </row>
    <row r="44" spans="2:5" x14ac:dyDescent="0.25">
      <c r="B44" s="239">
        <f t="shared" si="4"/>
        <v>2031</v>
      </c>
      <c r="C44" s="291">
        <f>+IF('Tratamiento Primario'!E19&gt;0,,-'Tratamiento Primario'!E19)</f>
        <v>122.82292992154362</v>
      </c>
      <c r="D44" s="291">
        <f t="shared" si="6"/>
        <v>1320.4303448275864</v>
      </c>
      <c r="E44" s="291">
        <f t="shared" si="7"/>
        <v>1197.6074149060428</v>
      </c>
    </row>
    <row r="45" spans="2:5" x14ac:dyDescent="0.25">
      <c r="B45" s="239">
        <f t="shared" si="4"/>
        <v>2032</v>
      </c>
      <c r="C45" s="291">
        <f>+IF('Tratamiento Primario'!E20&gt;0,,-'Tratamiento Primario'!E20)</f>
        <v>219.87598395473105</v>
      </c>
      <c r="D45" s="291">
        <f t="shared" si="6"/>
        <v>1320.4303448275864</v>
      </c>
      <c r="E45" s="291">
        <f t="shared" si="7"/>
        <v>1100.5543608728553</v>
      </c>
    </row>
    <row r="46" spans="2:5" x14ac:dyDescent="0.25">
      <c r="B46" s="239">
        <f t="shared" si="4"/>
        <v>2033</v>
      </c>
      <c r="C46" s="291">
        <f>+IF('Tratamiento Primario'!E21&gt;0,,-'Tratamiento Primario'!E21)</f>
        <v>317.27871996046179</v>
      </c>
      <c r="D46" s="291">
        <f t="shared" si="6"/>
        <v>1320.4303448275864</v>
      </c>
      <c r="E46" s="291">
        <f t="shared" si="7"/>
        <v>1003.1516248671246</v>
      </c>
    </row>
    <row r="47" spans="2:5" x14ac:dyDescent="0.25">
      <c r="B47" s="239">
        <f t="shared" si="4"/>
        <v>2034</v>
      </c>
      <c r="C47" s="291">
        <f>+IF('Tratamiento Primario'!E22&gt;0,,-'Tratamiento Primario'!E22)</f>
        <v>415.76076869772169</v>
      </c>
      <c r="D47" s="291">
        <f t="shared" si="6"/>
        <v>1320.4303448275864</v>
      </c>
      <c r="E47" s="291">
        <f t="shared" si="7"/>
        <v>904.66957612986471</v>
      </c>
    </row>
    <row r="48" spans="2:5" x14ac:dyDescent="0.25">
      <c r="B48" s="239">
        <f t="shared" si="4"/>
        <v>2035</v>
      </c>
      <c r="C48" s="291">
        <f>+IF('Tratamiento Primario'!E23&gt;0,,-'Tratamiento Primario'!E23)</f>
        <v>515.135867634237</v>
      </c>
      <c r="D48" s="291">
        <f t="shared" si="6"/>
        <v>1320.4303448275864</v>
      </c>
      <c r="E48" s="291">
        <f t="shared" si="7"/>
        <v>805.29447719334939</v>
      </c>
    </row>
    <row r="49" spans="2:5" x14ac:dyDescent="0.25">
      <c r="B49" s="239">
        <f t="shared" si="4"/>
        <v>2036</v>
      </c>
      <c r="C49" s="291">
        <f>+IF('Tratamiento Primario'!E24&gt;0,,-'Tratamiento Primario'!E24)</f>
        <v>615.77828051186862</v>
      </c>
      <c r="D49" s="291">
        <f t="shared" ref="D49:D51" si="8">+D48</f>
        <v>1320.4303448275864</v>
      </c>
      <c r="E49" s="291">
        <f t="shared" si="7"/>
        <v>704.65206431571778</v>
      </c>
    </row>
    <row r="50" spans="2:5" x14ac:dyDescent="0.25">
      <c r="B50" s="240">
        <f t="shared" si="4"/>
        <v>2037</v>
      </c>
      <c r="C50" s="292">
        <f>+IF('Tratamiento Primario'!E25&gt;0,,-'Tratamiento Primario'!E25)</f>
        <v>716.74339940582286</v>
      </c>
      <c r="D50" s="292">
        <f t="shared" si="8"/>
        <v>1320.4303448275864</v>
      </c>
      <c r="E50" s="292">
        <f t="shared" si="7"/>
        <v>603.68694542176354</v>
      </c>
    </row>
    <row r="51" spans="2:5" x14ac:dyDescent="0.25">
      <c r="B51" s="240">
        <f t="shared" si="4"/>
        <v>2038</v>
      </c>
      <c r="C51" s="292">
        <f>+IF('Tratamiento Primario'!E26&gt;0,,-'Tratamiento Primario'!E26)</f>
        <v>818.79887229653832</v>
      </c>
      <c r="D51" s="292">
        <f t="shared" si="8"/>
        <v>1320.4303448275864</v>
      </c>
      <c r="E51" s="292">
        <f t="shared" ref="E51" si="9">+D51-C51</f>
        <v>501.63147253104808</v>
      </c>
    </row>
  </sheetData>
  <conditionalFormatting sqref="E10:E26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8"/>
  <sheetViews>
    <sheetView zoomScaleNormal="100" workbookViewId="0">
      <selection activeCell="I4" sqref="I4"/>
    </sheetView>
  </sheetViews>
  <sheetFormatPr baseColWidth="10" defaultRowHeight="13.2" x14ac:dyDescent="0.25"/>
  <sheetData>
    <row r="3" spans="2:10" ht="13.8" x14ac:dyDescent="0.25">
      <c r="B3" s="228" t="s">
        <v>165</v>
      </c>
      <c r="J3" s="225" t="s">
        <v>168</v>
      </c>
    </row>
    <row r="4" spans="2:10" ht="13.8" x14ac:dyDescent="0.25">
      <c r="B4" s="228" t="s">
        <v>166</v>
      </c>
      <c r="J4" s="225" t="s">
        <v>169</v>
      </c>
    </row>
    <row r="5" spans="2:10" ht="13.8" x14ac:dyDescent="0.25">
      <c r="B5" s="228" t="s">
        <v>154</v>
      </c>
      <c r="J5" s="223" t="s">
        <v>155</v>
      </c>
    </row>
    <row r="6" spans="2:10" x14ac:dyDescent="0.25">
      <c r="B6" s="229" t="s">
        <v>155</v>
      </c>
      <c r="J6" s="223" t="s">
        <v>156</v>
      </c>
    </row>
    <row r="7" spans="2:10" x14ac:dyDescent="0.25">
      <c r="B7" s="229" t="s">
        <v>156</v>
      </c>
      <c r="J7" s="224" t="s">
        <v>167</v>
      </c>
    </row>
    <row r="8" spans="2:10" x14ac:dyDescent="0.25">
      <c r="B8" s="230" t="s">
        <v>167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51"/>
  <sheetViews>
    <sheetView topLeftCell="A36" zoomScaleNormal="100" workbookViewId="0">
      <selection activeCell="C47" sqref="C47:E50"/>
    </sheetView>
  </sheetViews>
  <sheetFormatPr baseColWidth="10" defaultRowHeight="13.2" x14ac:dyDescent="0.25"/>
  <sheetData>
    <row r="3" spans="2:5" ht="13.8" x14ac:dyDescent="0.25">
      <c r="B3" s="228" t="s">
        <v>171</v>
      </c>
    </row>
    <row r="4" spans="2:5" ht="13.8" x14ac:dyDescent="0.25">
      <c r="B4" s="228" t="s">
        <v>153</v>
      </c>
    </row>
    <row r="5" spans="2:5" ht="13.8" x14ac:dyDescent="0.25">
      <c r="B5" s="228" t="s">
        <v>154</v>
      </c>
    </row>
    <row r="6" spans="2:5" ht="13.8" x14ac:dyDescent="0.25">
      <c r="B6" s="233" t="s">
        <v>183</v>
      </c>
      <c r="C6" s="237"/>
      <c r="D6" s="237"/>
      <c r="E6" s="237"/>
    </row>
    <row r="7" spans="2:5" ht="13.8" x14ac:dyDescent="0.25">
      <c r="B7" s="233" t="s">
        <v>184</v>
      </c>
      <c r="C7" s="237"/>
      <c r="D7" s="237"/>
      <c r="E7" s="237"/>
    </row>
    <row r="8" spans="2:5" ht="13.8" x14ac:dyDescent="0.25">
      <c r="B8" s="233" t="s">
        <v>170</v>
      </c>
      <c r="C8" s="237"/>
      <c r="D8" s="237"/>
      <c r="E8" s="237"/>
    </row>
    <row r="9" spans="2:5" ht="52.8" x14ac:dyDescent="0.25">
      <c r="B9" s="236" t="s">
        <v>0</v>
      </c>
      <c r="C9" s="235" t="s">
        <v>188</v>
      </c>
      <c r="D9" s="235" t="s">
        <v>189</v>
      </c>
      <c r="E9" s="235" t="s">
        <v>180</v>
      </c>
    </row>
    <row r="10" spans="2:5" x14ac:dyDescent="0.25">
      <c r="B10" s="238">
        <f>+'Tratamiento Primario'!B10</f>
        <v>2022</v>
      </c>
      <c r="C10" s="290">
        <f>325*0+400</f>
        <v>400</v>
      </c>
      <c r="D10" s="290">
        <f>+'[1]Tabla 11-a Dda AS Tot'!O14</f>
        <v>313.28661404109579</v>
      </c>
      <c r="E10" s="290">
        <f t="shared" ref="E10:E25" si="0">+C10-D10</f>
        <v>86.713385958904212</v>
      </c>
    </row>
    <row r="11" spans="2:5" x14ac:dyDescent="0.25">
      <c r="B11" s="239">
        <f t="shared" ref="B11:B26" si="1">+B10+1</f>
        <v>2023</v>
      </c>
      <c r="C11" s="291">
        <f t="shared" ref="C11:C26" si="2">+C10</f>
        <v>400</v>
      </c>
      <c r="D11" s="291">
        <f>+'[1]Tabla 11-a Dda AS Tot'!O15</f>
        <v>322.48425190056452</v>
      </c>
      <c r="E11" s="291">
        <f t="shared" si="0"/>
        <v>77.515748099435484</v>
      </c>
    </row>
    <row r="12" spans="2:5" x14ac:dyDescent="0.25">
      <c r="B12" s="239">
        <f t="shared" si="1"/>
        <v>2024</v>
      </c>
      <c r="C12" s="291">
        <f t="shared" si="2"/>
        <v>400</v>
      </c>
      <c r="D12" s="291">
        <f>+'[1]Tabla 11-a Dda AS Tot'!O16</f>
        <v>329.43853992327934</v>
      </c>
      <c r="E12" s="291">
        <f t="shared" si="0"/>
        <v>70.561460076720664</v>
      </c>
    </row>
    <row r="13" spans="2:5" x14ac:dyDescent="0.25">
      <c r="B13" s="239">
        <f t="shared" si="1"/>
        <v>2025</v>
      </c>
      <c r="C13" s="291">
        <f t="shared" si="2"/>
        <v>400</v>
      </c>
      <c r="D13" s="291">
        <f>+'[1]Tabla 11-a Dda AS Tot'!O17</f>
        <v>336.42406029113346</v>
      </c>
      <c r="E13" s="291">
        <f t="shared" si="0"/>
        <v>63.575939708866542</v>
      </c>
    </row>
    <row r="14" spans="2:5" x14ac:dyDescent="0.25">
      <c r="B14" s="239">
        <f t="shared" si="1"/>
        <v>2026</v>
      </c>
      <c r="C14" s="291">
        <f t="shared" si="2"/>
        <v>400</v>
      </c>
      <c r="D14" s="291">
        <f>+'[1]Tabla 11-a Dda AS Tot'!O18</f>
        <v>343.49138691896701</v>
      </c>
      <c r="E14" s="291">
        <f t="shared" si="0"/>
        <v>56.508613081032991</v>
      </c>
    </row>
    <row r="15" spans="2:5" x14ac:dyDescent="0.25">
      <c r="B15" s="239">
        <f t="shared" si="1"/>
        <v>2027</v>
      </c>
      <c r="C15" s="291">
        <f t="shared" si="2"/>
        <v>400</v>
      </c>
      <c r="D15" s="291">
        <f>+'[1]Tabla 11-a Dda AS Tot'!O19</f>
        <v>350.62781590189991</v>
      </c>
      <c r="E15" s="291">
        <f t="shared" si="0"/>
        <v>49.372184098100092</v>
      </c>
    </row>
    <row r="16" spans="2:5" x14ac:dyDescent="0.25">
      <c r="B16" s="239">
        <f t="shared" si="1"/>
        <v>2028</v>
      </c>
      <c r="C16" s="291">
        <f t="shared" si="2"/>
        <v>400</v>
      </c>
      <c r="D16" s="291">
        <f>+'[1]Tabla 11-a Dda AS Tot'!O20</f>
        <v>357.85984099880591</v>
      </c>
      <c r="E16" s="291">
        <f t="shared" si="0"/>
        <v>42.140159001194093</v>
      </c>
    </row>
    <row r="17" spans="2:5" x14ac:dyDescent="0.25">
      <c r="B17" s="239">
        <f t="shared" si="1"/>
        <v>2029</v>
      </c>
      <c r="C17" s="291">
        <f t="shared" si="2"/>
        <v>400</v>
      </c>
      <c r="D17" s="291">
        <f>+'[1]Tabla 11-a Dda AS Tot'!O21</f>
        <v>365.12101109782441</v>
      </c>
      <c r="E17" s="291">
        <f t="shared" si="0"/>
        <v>34.878988902175593</v>
      </c>
    </row>
    <row r="18" spans="2:5" x14ac:dyDescent="0.25">
      <c r="B18" s="239">
        <f t="shared" si="1"/>
        <v>2030</v>
      </c>
      <c r="C18" s="291">
        <f t="shared" si="2"/>
        <v>400</v>
      </c>
      <c r="D18" s="291">
        <f>+'[1]Tabla 11-a Dda AS Tot'!O22</f>
        <v>372.46484180681523</v>
      </c>
      <c r="E18" s="291">
        <f t="shared" si="0"/>
        <v>27.53515819318477</v>
      </c>
    </row>
    <row r="19" spans="2:5" x14ac:dyDescent="0.25">
      <c r="B19" s="239">
        <f t="shared" si="1"/>
        <v>2031</v>
      </c>
      <c r="C19" s="291">
        <f t="shared" si="2"/>
        <v>400</v>
      </c>
      <c r="D19" s="291">
        <f>+'[1]Tabla 11-a Dda AS Tot'!O23</f>
        <v>379.877774870905</v>
      </c>
      <c r="E19" s="291">
        <f t="shared" si="0"/>
        <v>20.122225129095</v>
      </c>
    </row>
    <row r="20" spans="2:5" x14ac:dyDescent="0.25">
      <c r="B20" s="239">
        <f t="shared" si="1"/>
        <v>2032</v>
      </c>
      <c r="C20" s="291">
        <f t="shared" si="2"/>
        <v>400</v>
      </c>
      <c r="D20" s="291">
        <f>+'[1]Tabla 11-a Dda AS Tot'!O24</f>
        <v>387.38753704200172</v>
      </c>
      <c r="E20" s="291">
        <f t="shared" si="0"/>
        <v>12.612462957998275</v>
      </c>
    </row>
    <row r="21" spans="2:5" x14ac:dyDescent="0.25">
      <c r="B21" s="239">
        <f t="shared" si="1"/>
        <v>2033</v>
      </c>
      <c r="C21" s="291">
        <f t="shared" si="2"/>
        <v>400</v>
      </c>
      <c r="D21" s="291">
        <f>+'[1]Tabla 11-a Dda AS Tot'!O25</f>
        <v>394.92435687218489</v>
      </c>
      <c r="E21" s="291">
        <f t="shared" si="0"/>
        <v>5.0756431278151126</v>
      </c>
    </row>
    <row r="22" spans="2:5" x14ac:dyDescent="0.25">
      <c r="B22" s="239">
        <f t="shared" si="1"/>
        <v>2034</v>
      </c>
      <c r="C22" s="291">
        <f t="shared" si="2"/>
        <v>400</v>
      </c>
      <c r="D22" s="291">
        <f>+'[1]Tabla 11-a Dda AS Tot'!O26</f>
        <v>402.54469166233253</v>
      </c>
      <c r="E22" s="291">
        <f t="shared" si="0"/>
        <v>-2.5446916623325251</v>
      </c>
    </row>
    <row r="23" spans="2:5" x14ac:dyDescent="0.25">
      <c r="B23" s="239">
        <f t="shared" si="1"/>
        <v>2035</v>
      </c>
      <c r="C23" s="291">
        <f t="shared" si="2"/>
        <v>400</v>
      </c>
      <c r="D23" s="291">
        <f>+'[1]Tabla 11-a Dda AS Tot'!O27</f>
        <v>410.2341288075794</v>
      </c>
      <c r="E23" s="291">
        <f t="shared" si="0"/>
        <v>-10.234128807579395</v>
      </c>
    </row>
    <row r="24" spans="2:5" x14ac:dyDescent="0.25">
      <c r="B24" s="239">
        <f t="shared" si="1"/>
        <v>2036</v>
      </c>
      <c r="C24" s="291">
        <f t="shared" si="2"/>
        <v>400</v>
      </c>
      <c r="D24" s="291">
        <f>+'[1]Tabla 11-a Dda AS Tot'!O28</f>
        <v>418.02162805286736</v>
      </c>
      <c r="E24" s="291">
        <f t="shared" si="0"/>
        <v>-18.021628052867356</v>
      </c>
    </row>
    <row r="25" spans="2:5" x14ac:dyDescent="0.25">
      <c r="B25" s="240">
        <f t="shared" si="1"/>
        <v>2037</v>
      </c>
      <c r="C25" s="292">
        <f t="shared" si="2"/>
        <v>400</v>
      </c>
      <c r="D25" s="292">
        <f>+'[1]Tabla 11-a Dda AS Tot'!O29</f>
        <v>425.83409761421501</v>
      </c>
      <c r="E25" s="292">
        <f t="shared" si="0"/>
        <v>-25.834097614215011</v>
      </c>
    </row>
    <row r="26" spans="2:5" x14ac:dyDescent="0.25">
      <c r="B26" s="240">
        <f t="shared" si="1"/>
        <v>2038</v>
      </c>
      <c r="C26" s="292">
        <f t="shared" si="2"/>
        <v>400</v>
      </c>
      <c r="D26" s="292">
        <f>+'[1]Tabla 11-a Dda AS Tot'!O30</f>
        <v>433.73093648551946</v>
      </c>
      <c r="E26" s="292">
        <f t="shared" ref="E26" si="3">+C26-D26</f>
        <v>-33.730936485519464</v>
      </c>
    </row>
    <row r="28" spans="2:5" ht="13.8" x14ac:dyDescent="0.25">
      <c r="B28" s="225" t="s">
        <v>172</v>
      </c>
    </row>
    <row r="29" spans="2:5" ht="13.8" x14ac:dyDescent="0.25">
      <c r="B29" s="225" t="s">
        <v>153</v>
      </c>
    </row>
    <row r="30" spans="2:5" ht="13.8" x14ac:dyDescent="0.25">
      <c r="B30" s="225" t="s">
        <v>173</v>
      </c>
    </row>
    <row r="31" spans="2:5" ht="13.8" x14ac:dyDescent="0.25">
      <c r="B31" s="233" t="s">
        <v>183</v>
      </c>
      <c r="C31" s="237"/>
      <c r="D31" s="237"/>
      <c r="E31" s="237"/>
    </row>
    <row r="32" spans="2:5" ht="13.8" x14ac:dyDescent="0.25">
      <c r="B32" s="233" t="s">
        <v>184</v>
      </c>
      <c r="C32" s="237"/>
      <c r="D32" s="237"/>
      <c r="E32" s="237"/>
    </row>
    <row r="33" spans="2:5" ht="13.8" x14ac:dyDescent="0.25">
      <c r="B33" s="233" t="s">
        <v>170</v>
      </c>
      <c r="C33" s="237"/>
      <c r="D33" s="237"/>
      <c r="E33" s="237"/>
    </row>
    <row r="34" spans="2:5" ht="39.6" x14ac:dyDescent="0.25">
      <c r="B34" s="236" t="s">
        <v>0</v>
      </c>
      <c r="C34" s="235" t="s">
        <v>190</v>
      </c>
      <c r="D34" s="235" t="s">
        <v>191</v>
      </c>
      <c r="E34" s="235" t="s">
        <v>187</v>
      </c>
    </row>
    <row r="35" spans="2:5" x14ac:dyDescent="0.25">
      <c r="B35" s="238">
        <f>+Desinfección!B10</f>
        <v>2022</v>
      </c>
      <c r="C35" s="231"/>
      <c r="D35" s="231"/>
      <c r="E35" s="231"/>
    </row>
    <row r="36" spans="2:5" x14ac:dyDescent="0.25">
      <c r="B36" s="239">
        <f t="shared" ref="B36:B51" si="4">+B35+1</f>
        <v>2023</v>
      </c>
      <c r="C36" s="232"/>
      <c r="D36" s="232"/>
      <c r="E36" s="232"/>
    </row>
    <row r="37" spans="2:5" x14ac:dyDescent="0.25">
      <c r="B37" s="239">
        <f t="shared" si="4"/>
        <v>2024</v>
      </c>
      <c r="C37" s="232"/>
      <c r="D37" s="232"/>
      <c r="E37" s="232"/>
    </row>
    <row r="38" spans="2:5" x14ac:dyDescent="0.25">
      <c r="B38" s="239">
        <f t="shared" si="4"/>
        <v>2025</v>
      </c>
      <c r="C38" s="232"/>
      <c r="D38" s="232"/>
      <c r="E38" s="232"/>
    </row>
    <row r="39" spans="2:5" x14ac:dyDescent="0.25">
      <c r="B39" s="239">
        <f t="shared" si="4"/>
        <v>2026</v>
      </c>
      <c r="C39" s="232"/>
      <c r="D39" s="232"/>
      <c r="E39" s="232"/>
    </row>
    <row r="40" spans="2:5" x14ac:dyDescent="0.25">
      <c r="B40" s="239">
        <f t="shared" si="4"/>
        <v>2027</v>
      </c>
      <c r="C40" s="232"/>
      <c r="D40" s="232"/>
      <c r="E40" s="232"/>
    </row>
    <row r="41" spans="2:5" x14ac:dyDescent="0.25">
      <c r="B41" s="239">
        <f t="shared" si="4"/>
        <v>2028</v>
      </c>
      <c r="C41" s="232"/>
      <c r="D41" s="232"/>
      <c r="E41" s="232"/>
    </row>
    <row r="42" spans="2:5" x14ac:dyDescent="0.25">
      <c r="B42" s="239">
        <f t="shared" si="4"/>
        <v>2029</v>
      </c>
      <c r="C42" s="291"/>
      <c r="D42" s="232"/>
      <c r="E42" s="232"/>
    </row>
    <row r="43" spans="2:5" x14ac:dyDescent="0.25">
      <c r="B43" s="239">
        <f t="shared" si="4"/>
        <v>2030</v>
      </c>
      <c r="C43" s="291"/>
      <c r="D43" s="232"/>
      <c r="E43" s="232"/>
    </row>
    <row r="44" spans="2:5" x14ac:dyDescent="0.25">
      <c r="B44" s="239">
        <f t="shared" si="4"/>
        <v>2031</v>
      </c>
      <c r="C44" s="291"/>
      <c r="D44" s="232"/>
      <c r="E44" s="232"/>
    </row>
    <row r="45" spans="2:5" x14ac:dyDescent="0.25">
      <c r="B45" s="239">
        <f t="shared" si="4"/>
        <v>2032</v>
      </c>
      <c r="C45" s="291"/>
      <c r="D45" s="232"/>
      <c r="E45" s="232"/>
    </row>
    <row r="46" spans="2:5" x14ac:dyDescent="0.25">
      <c r="B46" s="239">
        <f t="shared" si="4"/>
        <v>2033</v>
      </c>
      <c r="C46" s="291"/>
      <c r="D46" s="232"/>
      <c r="E46" s="232"/>
    </row>
    <row r="47" spans="2:5" x14ac:dyDescent="0.25">
      <c r="B47" s="239">
        <f t="shared" si="4"/>
        <v>2034</v>
      </c>
      <c r="C47" s="291">
        <f>+IF(Desinfección!E22&gt;0,,-Desinfección!E22)</f>
        <v>2.5446916623325251</v>
      </c>
      <c r="D47" s="291">
        <v>40</v>
      </c>
      <c r="E47" s="291">
        <f t="shared" ref="E47:E49" si="5">+D47-C47</f>
        <v>37.455308337667475</v>
      </c>
    </row>
    <row r="48" spans="2:5" x14ac:dyDescent="0.25">
      <c r="B48" s="239">
        <f t="shared" si="4"/>
        <v>2035</v>
      </c>
      <c r="C48" s="291">
        <f>+IF(Desinfección!E23&gt;0,,-Desinfección!E23)</f>
        <v>10.234128807579395</v>
      </c>
      <c r="D48" s="291">
        <f>+D47</f>
        <v>40</v>
      </c>
      <c r="E48" s="291">
        <f t="shared" si="5"/>
        <v>29.765871192420605</v>
      </c>
    </row>
    <row r="49" spans="2:5" x14ac:dyDescent="0.25">
      <c r="B49" s="239">
        <f t="shared" si="4"/>
        <v>2036</v>
      </c>
      <c r="C49" s="291">
        <f>+IF(Desinfección!E24&gt;0,,-Desinfección!E24)</f>
        <v>18.021628052867356</v>
      </c>
      <c r="D49" s="291">
        <f>+D48</f>
        <v>40</v>
      </c>
      <c r="E49" s="291">
        <f t="shared" si="5"/>
        <v>21.978371947132644</v>
      </c>
    </row>
    <row r="50" spans="2:5" x14ac:dyDescent="0.25">
      <c r="B50" s="240">
        <f t="shared" si="4"/>
        <v>2037</v>
      </c>
      <c r="C50" s="292">
        <f>+IF(Desinfección!E25&gt;0,,-Desinfección!E25)</f>
        <v>25.834097614215011</v>
      </c>
      <c r="D50" s="292">
        <f>+D49</f>
        <v>40</v>
      </c>
      <c r="E50" s="292">
        <f t="shared" ref="E50" si="6">+D50-C50</f>
        <v>14.165902385784989</v>
      </c>
    </row>
    <row r="51" spans="2:5" x14ac:dyDescent="0.25">
      <c r="B51" s="240">
        <f t="shared" si="4"/>
        <v>2038</v>
      </c>
      <c r="C51" s="292">
        <f>+IF(Desinfección!E26&gt;0,,-Desinfección!E26)</f>
        <v>33.730936485519464</v>
      </c>
      <c r="D51" s="292">
        <f>+D50</f>
        <v>40</v>
      </c>
      <c r="E51" s="292">
        <f t="shared" ref="E51" si="7">+D51-C51</f>
        <v>6.2690635144805356</v>
      </c>
    </row>
  </sheetData>
  <conditionalFormatting sqref="E10:E26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U29"/>
  <sheetViews>
    <sheetView topLeftCell="B10" zoomScaleNormal="100" workbookViewId="0">
      <selection activeCell="L25" sqref="L25"/>
    </sheetView>
  </sheetViews>
  <sheetFormatPr baseColWidth="10" defaultRowHeight="13.2" x14ac:dyDescent="0.25"/>
  <cols>
    <col min="16" max="16" width="14.44140625" bestFit="1" customWidth="1"/>
  </cols>
  <sheetData>
    <row r="3" spans="2:21" ht="13.8" x14ac:dyDescent="0.3">
      <c r="B3" s="225" t="s">
        <v>176</v>
      </c>
      <c r="J3" s="3" t="s">
        <v>8</v>
      </c>
      <c r="K3" s="210" t="s">
        <v>152</v>
      </c>
      <c r="S3" s="1"/>
      <c r="T3" s="1"/>
    </row>
    <row r="4" spans="2:21" ht="13.8" x14ac:dyDescent="0.3">
      <c r="B4" s="225" t="s">
        <v>153</v>
      </c>
      <c r="K4" s="6" t="s">
        <v>11</v>
      </c>
      <c r="L4" s="6" t="s">
        <v>150</v>
      </c>
      <c r="M4" s="6" t="s">
        <v>151</v>
      </c>
      <c r="P4" s="6" t="s">
        <v>204</v>
      </c>
      <c r="T4" t="s">
        <v>149</v>
      </c>
    </row>
    <row r="5" spans="2:21" ht="13.8" x14ac:dyDescent="0.3">
      <c r="B5" s="225" t="s">
        <v>177</v>
      </c>
      <c r="J5" s="7">
        <v>2020</v>
      </c>
      <c r="K5" s="274" t="e">
        <f>+GETPIVOTDATA("Valor",'[2]Resumen Vol 2020'!$S$4)</f>
        <v>#REF!</v>
      </c>
      <c r="L5" s="275" t="e">
        <f t="shared" ref="L5:L7" si="0">+K5/365</f>
        <v>#REF!</v>
      </c>
      <c r="M5" s="276">
        <f>+'[2]RESUMEN (2022)'!$B$6</f>
        <v>363.15905631659058</v>
      </c>
      <c r="N5" s="4" t="e">
        <f>+K5/(M5*365)</f>
        <v>#REF!</v>
      </c>
      <c r="O5" s="1" t="s">
        <v>12</v>
      </c>
      <c r="P5" s="221">
        <f>+'[1]Tabla 11-a Dda AS Tot'!$O$12</f>
        <v>297.93105034246582</v>
      </c>
      <c r="Q5" s="4" t="e">
        <f>+K5/(P5*365)</f>
        <v>#REF!</v>
      </c>
      <c r="R5" s="1" t="s">
        <v>12</v>
      </c>
      <c r="S5" s="277"/>
      <c r="T5" t="s">
        <v>203</v>
      </c>
    </row>
    <row r="6" spans="2:21" ht="13.8" x14ac:dyDescent="0.3">
      <c r="B6" s="233" t="s">
        <v>183</v>
      </c>
      <c r="C6" s="237"/>
      <c r="D6" s="246"/>
      <c r="E6" s="246"/>
      <c r="F6" s="246"/>
      <c r="G6" s="246"/>
      <c r="H6" s="246"/>
      <c r="J6" s="7">
        <f>+J5+1</f>
        <v>2021</v>
      </c>
      <c r="K6" s="274" t="e">
        <f>+GETPIVOTDATA("Valor",'[2]Resumen Vol 2021'!$T$4)</f>
        <v>#REF!</v>
      </c>
      <c r="L6" s="275" t="e">
        <f t="shared" si="0"/>
        <v>#REF!</v>
      </c>
      <c r="M6" s="276">
        <f>+'[2]RESUMEN (2022)'!$B$7</f>
        <v>345.66980593607303</v>
      </c>
      <c r="N6" s="4" t="e">
        <f>+K6/(M6*365)</f>
        <v>#REF!</v>
      </c>
      <c r="O6" s="1" t="s">
        <v>12</v>
      </c>
      <c r="P6" s="221">
        <f>+'[1]Tabla 11-a Dda AS Tot'!$O$13</f>
        <v>304.56364691780823</v>
      </c>
      <c r="Q6" s="4" t="e">
        <f>+K6/(P6*365)</f>
        <v>#REF!</v>
      </c>
      <c r="R6" s="1" t="s">
        <v>12</v>
      </c>
      <c r="S6" s="277"/>
      <c r="T6" s="282"/>
    </row>
    <row r="7" spans="2:21" ht="14.4" thickBot="1" x14ac:dyDescent="0.35">
      <c r="B7" s="233" t="s">
        <v>184</v>
      </c>
      <c r="C7" s="237"/>
      <c r="D7" s="246"/>
      <c r="E7" s="246"/>
      <c r="F7" s="246"/>
      <c r="G7" s="246"/>
      <c r="H7" s="246"/>
      <c r="J7" s="7">
        <f>+J6+1</f>
        <v>2022</v>
      </c>
      <c r="K7" s="274" t="e">
        <f>+GETPIVOTDATA("Valor",'[2]Resumen Vol 2022'!$S$4)</f>
        <v>#REF!</v>
      </c>
      <c r="L7" s="275" t="e">
        <f t="shared" si="0"/>
        <v>#REF!</v>
      </c>
      <c r="M7" s="276">
        <f>+'[2]RESUMEN (2022)'!$B$8</f>
        <v>386.34911212582449</v>
      </c>
      <c r="N7" s="4" t="e">
        <f>+K7/(M7*365)</f>
        <v>#REF!</v>
      </c>
      <c r="O7" s="1" t="s">
        <v>12</v>
      </c>
      <c r="P7" s="221">
        <f>+'[1]Tabla 11-a Dda AS Tot'!$O$14</f>
        <v>313.28661404109579</v>
      </c>
      <c r="Q7" s="4" t="e">
        <f>+K7/(P7*365)</f>
        <v>#REF!</v>
      </c>
      <c r="R7" s="1" t="s">
        <v>12</v>
      </c>
      <c r="S7" s="277"/>
      <c r="T7" s="282"/>
    </row>
    <row r="8" spans="2:21" ht="14.4" thickBot="1" x14ac:dyDescent="0.35">
      <c r="B8" s="233" t="s">
        <v>178</v>
      </c>
      <c r="C8" s="247"/>
      <c r="D8" s="247"/>
      <c r="E8" s="247"/>
      <c r="F8" s="247"/>
      <c r="G8" s="247"/>
      <c r="H8" s="247"/>
      <c r="N8" s="280" t="e">
        <f>+MAX(N5:N7)</f>
        <v>#REF!</v>
      </c>
      <c r="O8" s="1" t="s">
        <v>12</v>
      </c>
      <c r="P8" s="281" t="s">
        <v>202</v>
      </c>
      <c r="Q8" s="222" t="e">
        <f>+AVERAGE(Q5:Q7)*0+MAX(Q5:Q7)</f>
        <v>#REF!</v>
      </c>
      <c r="R8" s="1" t="s">
        <v>12</v>
      </c>
      <c r="T8" s="289">
        <f>+'[3]Lodos-Resumen-2022'!$M$1187</f>
        <v>69.423703703703708</v>
      </c>
      <c r="U8" t="s">
        <v>205</v>
      </c>
    </row>
    <row r="9" spans="2:21" x14ac:dyDescent="0.25">
      <c r="B9" s="233" t="s">
        <v>179</v>
      </c>
      <c r="C9" s="247"/>
      <c r="D9" s="288">
        <f>+'[3]Lodos-Resumen-2022'!$M$1187/100</f>
        <v>0.6942370370370371</v>
      </c>
      <c r="E9" s="247"/>
      <c r="F9" s="247"/>
      <c r="G9" s="247"/>
      <c r="H9" s="247"/>
    </row>
    <row r="10" spans="2:21" ht="13.8" x14ac:dyDescent="0.3">
      <c r="B10" s="300" t="s">
        <v>0</v>
      </c>
      <c r="C10" s="301" t="s">
        <v>4</v>
      </c>
      <c r="D10" s="301"/>
      <c r="E10" s="301" t="s">
        <v>5</v>
      </c>
      <c r="F10" s="301"/>
      <c r="G10" s="300" t="s">
        <v>6</v>
      </c>
      <c r="H10" s="300"/>
      <c r="S10" s="1"/>
      <c r="T10" s="1"/>
    </row>
    <row r="11" spans="2:21" ht="13.8" x14ac:dyDescent="0.3">
      <c r="B11" s="300"/>
      <c r="C11" s="301" t="s">
        <v>7</v>
      </c>
      <c r="D11" s="301"/>
      <c r="E11" s="301"/>
      <c r="F11" s="301"/>
      <c r="G11" s="300"/>
      <c r="H11" s="300"/>
      <c r="S11" s="1"/>
      <c r="T11" s="1"/>
    </row>
    <row r="12" spans="2:21" ht="13.8" x14ac:dyDescent="0.3">
      <c r="B12" s="300"/>
      <c r="C12" s="235" t="s">
        <v>9</v>
      </c>
      <c r="D12" s="235" t="s">
        <v>10</v>
      </c>
      <c r="E12" s="235" t="s">
        <v>9</v>
      </c>
      <c r="F12" s="235" t="s">
        <v>10</v>
      </c>
      <c r="G12" s="235" t="s">
        <v>9</v>
      </c>
      <c r="H12" s="235" t="s">
        <v>10</v>
      </c>
      <c r="S12" s="1"/>
      <c r="T12" s="1"/>
    </row>
    <row r="13" spans="2:21" ht="13.8" x14ac:dyDescent="0.3">
      <c r="B13" s="238">
        <f>+Desinfección!B10</f>
        <v>2022</v>
      </c>
      <c r="C13" s="248"/>
      <c r="D13" s="248">
        <f>+Lodos!J20</f>
        <v>10.862068965517242</v>
      </c>
      <c r="E13" s="248"/>
      <c r="F13" s="248" t="e">
        <f>+Lodos!$Q$8*Desinfección!D10</f>
        <v>#REF!</v>
      </c>
      <c r="G13" s="248"/>
      <c r="H13" s="248" t="e">
        <f t="shared" ref="H13:H28" si="1">+D13-F13</f>
        <v>#REF!</v>
      </c>
      <c r="J13" s="215" t="s">
        <v>13</v>
      </c>
      <c r="K13" s="216"/>
      <c r="L13" s="216"/>
      <c r="M13" s="216"/>
      <c r="N13" s="216"/>
      <c r="O13" s="216"/>
      <c r="P13" s="15"/>
      <c r="S13" s="1"/>
      <c r="T13" s="1"/>
    </row>
    <row r="14" spans="2:21" ht="13.8" x14ac:dyDescent="0.3">
      <c r="B14" s="239">
        <f t="shared" ref="B14:B29" si="2">+B13+1</f>
        <v>2023</v>
      </c>
      <c r="C14" s="249"/>
      <c r="D14" s="249">
        <f t="shared" ref="D14:D29" si="3">+D13</f>
        <v>10.862068965517242</v>
      </c>
      <c r="E14" s="249"/>
      <c r="F14" s="249" t="e">
        <f>+Lodos!$Q$8*Desinfección!D11</f>
        <v>#REF!</v>
      </c>
      <c r="G14" s="249"/>
      <c r="H14" s="249" t="e">
        <f t="shared" si="1"/>
        <v>#REF!</v>
      </c>
      <c r="J14" s="217">
        <v>7</v>
      </c>
      <c r="K14" s="1" t="s">
        <v>14</v>
      </c>
      <c r="L14" s="1"/>
      <c r="M14" s="1"/>
      <c r="N14" s="1"/>
      <c r="O14" s="1"/>
      <c r="P14" s="205"/>
      <c r="S14" s="1"/>
      <c r="T14" s="1"/>
    </row>
    <row r="15" spans="2:21" ht="13.8" x14ac:dyDescent="0.3">
      <c r="B15" s="239">
        <f t="shared" si="2"/>
        <v>2024</v>
      </c>
      <c r="C15" s="249"/>
      <c r="D15" s="249">
        <f t="shared" si="3"/>
        <v>10.862068965517242</v>
      </c>
      <c r="E15" s="249"/>
      <c r="F15" s="249" t="e">
        <f>+Lodos!$Q$8*Desinfección!D12</f>
        <v>#REF!</v>
      </c>
      <c r="G15" s="249"/>
      <c r="H15" s="249" t="e">
        <f t="shared" si="1"/>
        <v>#REF!</v>
      </c>
      <c r="J15" s="204">
        <f>+J14*12</f>
        <v>84</v>
      </c>
      <c r="K15" s="1" t="s">
        <v>15</v>
      </c>
      <c r="L15" s="1"/>
      <c r="M15" s="1"/>
      <c r="N15" s="1"/>
      <c r="O15" s="1"/>
      <c r="P15" s="205"/>
      <c r="S15" s="1"/>
      <c r="T15" s="1"/>
    </row>
    <row r="16" spans="2:21" ht="13.8" x14ac:dyDescent="0.3">
      <c r="B16" s="239">
        <f t="shared" si="2"/>
        <v>2025</v>
      </c>
      <c r="C16" s="249"/>
      <c r="D16" s="249">
        <f t="shared" si="3"/>
        <v>10.862068965517242</v>
      </c>
      <c r="E16" s="249"/>
      <c r="F16" s="249" t="e">
        <f>+Lodos!$Q$8*Desinfección!D13</f>
        <v>#REF!</v>
      </c>
      <c r="G16" s="249"/>
      <c r="H16" s="249" t="e">
        <f t="shared" si="1"/>
        <v>#REF!</v>
      </c>
      <c r="J16" s="204"/>
      <c r="K16" s="1"/>
      <c r="L16" s="1"/>
      <c r="M16" s="1"/>
      <c r="N16" s="1"/>
      <c r="O16" s="1"/>
      <c r="P16" s="205"/>
      <c r="S16" s="1"/>
      <c r="T16" s="1"/>
    </row>
    <row r="17" spans="2:20" ht="13.8" x14ac:dyDescent="0.3">
      <c r="B17" s="239">
        <f t="shared" si="2"/>
        <v>2026</v>
      </c>
      <c r="C17" s="249"/>
      <c r="D17" s="249">
        <f t="shared" si="3"/>
        <v>10.862068965517242</v>
      </c>
      <c r="E17" s="249"/>
      <c r="F17" s="249" t="e">
        <f>+Lodos!$Q$8*Desinfección!D14</f>
        <v>#REF!</v>
      </c>
      <c r="G17" s="249"/>
      <c r="H17" s="249" t="e">
        <f t="shared" si="1"/>
        <v>#REF!</v>
      </c>
      <c r="J17" s="217"/>
      <c r="K17" s="218" t="s">
        <v>16</v>
      </c>
      <c r="L17" s="10">
        <v>4.4999999999999998E-2</v>
      </c>
      <c r="M17" s="9" t="s">
        <v>17</v>
      </c>
      <c r="N17" s="1">
        <f>+L17*J15</f>
        <v>3.78</v>
      </c>
      <c r="O17" s="1" t="s">
        <v>18</v>
      </c>
      <c r="P17" s="205"/>
      <c r="Q17" s="1"/>
      <c r="R17" s="1"/>
      <c r="S17" s="1"/>
      <c r="T17" s="1"/>
    </row>
    <row r="18" spans="2:20" ht="13.8" x14ac:dyDescent="0.3">
      <c r="B18" s="239">
        <f t="shared" si="2"/>
        <v>2027</v>
      </c>
      <c r="C18" s="249"/>
      <c r="D18" s="249">
        <f t="shared" si="3"/>
        <v>10.862068965517242</v>
      </c>
      <c r="E18" s="249"/>
      <c r="F18" s="249" t="e">
        <f>+Lodos!$Q$8*Desinfección!D15</f>
        <v>#REF!</v>
      </c>
      <c r="G18" s="249"/>
      <c r="H18" s="249" t="e">
        <f t="shared" si="1"/>
        <v>#REF!</v>
      </c>
      <c r="J18" s="217"/>
      <c r="K18" s="211" t="s">
        <v>19</v>
      </c>
      <c r="L18" s="212">
        <v>0.34799999999999998</v>
      </c>
      <c r="M18" s="213" t="s">
        <v>17</v>
      </c>
      <c r="N18" s="219">
        <f>+N17/L18</f>
        <v>10.862068965517242</v>
      </c>
      <c r="O18" s="1"/>
      <c r="P18" s="205"/>
      <c r="Q18" s="1"/>
      <c r="R18" s="1"/>
      <c r="S18" s="1"/>
      <c r="T18" s="1"/>
    </row>
    <row r="19" spans="2:20" ht="13.8" x14ac:dyDescent="0.3">
      <c r="B19" s="239">
        <f t="shared" si="2"/>
        <v>2028</v>
      </c>
      <c r="C19" s="249"/>
      <c r="D19" s="249">
        <f t="shared" si="3"/>
        <v>10.862068965517242</v>
      </c>
      <c r="E19" s="249"/>
      <c r="F19" s="249" t="e">
        <f>+Lodos!$Q$8*Desinfección!D16</f>
        <v>#REF!</v>
      </c>
      <c r="G19" s="249"/>
      <c r="H19" s="249" t="e">
        <f t="shared" si="1"/>
        <v>#REF!</v>
      </c>
      <c r="J19" s="204"/>
      <c r="K19" s="1"/>
      <c r="L19" s="220">
        <f>+L17/L18</f>
        <v>0.12931034482758622</v>
      </c>
      <c r="M19" s="1"/>
      <c r="N19" s="1"/>
      <c r="O19" s="1"/>
      <c r="P19" s="205"/>
      <c r="Q19" s="1"/>
      <c r="R19" s="1"/>
      <c r="S19" s="1"/>
      <c r="T19" s="1"/>
    </row>
    <row r="20" spans="2:20" ht="13.8" x14ac:dyDescent="0.3">
      <c r="B20" s="239">
        <f t="shared" si="2"/>
        <v>2029</v>
      </c>
      <c r="C20" s="249"/>
      <c r="D20" s="249">
        <f t="shared" si="3"/>
        <v>10.862068965517242</v>
      </c>
      <c r="E20" s="249"/>
      <c r="F20" s="249" t="e">
        <f>+Lodos!$Q$8*Desinfección!D17</f>
        <v>#REF!</v>
      </c>
      <c r="G20" s="249"/>
      <c r="H20" s="249" t="e">
        <f t="shared" si="1"/>
        <v>#REF!</v>
      </c>
      <c r="J20" s="278">
        <f>+J15*L17/L18</f>
        <v>10.862068965517242</v>
      </c>
      <c r="K20" s="279" t="s">
        <v>10</v>
      </c>
      <c r="L20" s="1"/>
      <c r="M20" s="1"/>
      <c r="N20" s="1"/>
      <c r="O20" s="1"/>
      <c r="P20" s="205"/>
      <c r="Q20" s="1"/>
      <c r="R20" s="1"/>
      <c r="S20" s="1"/>
      <c r="T20" s="1"/>
    </row>
    <row r="21" spans="2:20" ht="13.8" x14ac:dyDescent="0.3">
      <c r="B21" s="239">
        <f t="shared" si="2"/>
        <v>2030</v>
      </c>
      <c r="C21" s="249"/>
      <c r="D21" s="249">
        <f t="shared" si="3"/>
        <v>10.862068965517242</v>
      </c>
      <c r="E21" s="249"/>
      <c r="F21" s="249" t="e">
        <f>+Lodos!$Q$8*Desinfección!D18</f>
        <v>#REF!</v>
      </c>
      <c r="G21" s="249"/>
      <c r="H21" s="249" t="e">
        <f t="shared" si="1"/>
        <v>#REF!</v>
      </c>
      <c r="J21" s="204" t="s">
        <v>201</v>
      </c>
      <c r="K21" s="1"/>
      <c r="L21" s="1"/>
      <c r="M21" s="10">
        <f>1-L17</f>
        <v>0.95499999999999996</v>
      </c>
      <c r="N21" s="1"/>
      <c r="O21" s="1"/>
      <c r="P21" s="205"/>
    </row>
    <row r="22" spans="2:20" ht="13.8" x14ac:dyDescent="0.3">
      <c r="B22" s="239">
        <f t="shared" si="2"/>
        <v>2031</v>
      </c>
      <c r="C22" s="249"/>
      <c r="D22" s="249">
        <f t="shared" si="3"/>
        <v>10.862068965517242</v>
      </c>
      <c r="E22" s="249"/>
      <c r="F22" s="249" t="e">
        <f>+Lodos!$Q$8*Desinfección!D19</f>
        <v>#REF!</v>
      </c>
      <c r="G22" s="249"/>
      <c r="H22" s="249" t="e">
        <f t="shared" si="1"/>
        <v>#REF!</v>
      </c>
      <c r="J22" s="206"/>
      <c r="K22" s="214"/>
      <c r="L22" s="214"/>
      <c r="M22" s="212">
        <f>1-L18</f>
        <v>0.65200000000000002</v>
      </c>
      <c r="N22" s="214"/>
      <c r="O22" s="214"/>
      <c r="P22" s="17"/>
    </row>
    <row r="23" spans="2:20" x14ac:dyDescent="0.25">
      <c r="B23" s="239">
        <f t="shared" si="2"/>
        <v>2032</v>
      </c>
      <c r="C23" s="249"/>
      <c r="D23" s="249">
        <f t="shared" si="3"/>
        <v>10.862068965517242</v>
      </c>
      <c r="E23" s="249"/>
      <c r="F23" s="249" t="e">
        <f>+Lodos!$Q$8*Desinfección!D20</f>
        <v>#REF!</v>
      </c>
      <c r="G23" s="249"/>
      <c r="H23" s="249" t="e">
        <f t="shared" si="1"/>
        <v>#REF!</v>
      </c>
    </row>
    <row r="24" spans="2:20" x14ac:dyDescent="0.25">
      <c r="B24" s="239">
        <f t="shared" si="2"/>
        <v>2033</v>
      </c>
      <c r="C24" s="249"/>
      <c r="D24" s="249">
        <f t="shared" si="3"/>
        <v>10.862068965517242</v>
      </c>
      <c r="E24" s="249"/>
      <c r="F24" s="249" t="e">
        <f>+Lodos!$Q$8*Desinfección!D21</f>
        <v>#REF!</v>
      </c>
      <c r="G24" s="249"/>
      <c r="H24" s="249" t="e">
        <f t="shared" si="1"/>
        <v>#REF!</v>
      </c>
    </row>
    <row r="25" spans="2:20" x14ac:dyDescent="0.25">
      <c r="B25" s="239">
        <f t="shared" si="2"/>
        <v>2034</v>
      </c>
      <c r="C25" s="249"/>
      <c r="D25" s="249">
        <f t="shared" si="3"/>
        <v>10.862068965517242</v>
      </c>
      <c r="E25" s="249"/>
      <c r="F25" s="249" t="e">
        <f>+Lodos!$Q$8*Desinfección!D22</f>
        <v>#REF!</v>
      </c>
      <c r="G25" s="249"/>
      <c r="H25" s="249" t="e">
        <f t="shared" si="1"/>
        <v>#REF!</v>
      </c>
    </row>
    <row r="26" spans="2:20" x14ac:dyDescent="0.25">
      <c r="B26" s="239">
        <f t="shared" si="2"/>
        <v>2035</v>
      </c>
      <c r="C26" s="249"/>
      <c r="D26" s="249">
        <f t="shared" si="3"/>
        <v>10.862068965517242</v>
      </c>
      <c r="E26" s="249"/>
      <c r="F26" s="249" t="e">
        <f>+Lodos!$Q$8*Desinfección!D23</f>
        <v>#REF!</v>
      </c>
      <c r="G26" s="249"/>
      <c r="H26" s="249" t="e">
        <f t="shared" si="1"/>
        <v>#REF!</v>
      </c>
    </row>
    <row r="27" spans="2:20" x14ac:dyDescent="0.25">
      <c r="B27" s="239">
        <f t="shared" si="2"/>
        <v>2036</v>
      </c>
      <c r="C27" s="249"/>
      <c r="D27" s="249">
        <f t="shared" si="3"/>
        <v>10.862068965517242</v>
      </c>
      <c r="E27" s="249"/>
      <c r="F27" s="249" t="e">
        <f>+Lodos!$Q$8*Desinfección!D24</f>
        <v>#REF!</v>
      </c>
      <c r="G27" s="249"/>
      <c r="H27" s="249" t="e">
        <f t="shared" si="1"/>
        <v>#REF!</v>
      </c>
    </row>
    <row r="28" spans="2:20" x14ac:dyDescent="0.25">
      <c r="B28" s="240">
        <f t="shared" si="2"/>
        <v>2037</v>
      </c>
      <c r="C28" s="250"/>
      <c r="D28" s="250">
        <f t="shared" si="3"/>
        <v>10.862068965517242</v>
      </c>
      <c r="E28" s="250"/>
      <c r="F28" s="250" t="e">
        <f>+Lodos!$Q$8*Desinfección!D25</f>
        <v>#REF!</v>
      </c>
      <c r="G28" s="250"/>
      <c r="H28" s="250" t="e">
        <f t="shared" si="1"/>
        <v>#REF!</v>
      </c>
    </row>
    <row r="29" spans="2:20" x14ac:dyDescent="0.25">
      <c r="B29" s="240">
        <f t="shared" si="2"/>
        <v>2038</v>
      </c>
      <c r="C29" s="250"/>
      <c r="D29" s="250">
        <f t="shared" si="3"/>
        <v>10.862068965517242</v>
      </c>
      <c r="E29" s="250"/>
      <c r="F29" s="250" t="e">
        <f>+Lodos!$Q$8*Desinfección!D26</f>
        <v>#REF!</v>
      </c>
      <c r="G29" s="250"/>
      <c r="H29" s="250" t="e">
        <f t="shared" ref="H29" si="4">+D29-F29</f>
        <v>#REF!</v>
      </c>
    </row>
  </sheetData>
  <mergeCells count="5">
    <mergeCell ref="G10:H11"/>
    <mergeCell ref="C11:D11"/>
    <mergeCell ref="B10:B12"/>
    <mergeCell ref="C10:D10"/>
    <mergeCell ref="E10:F11"/>
  </mergeCells>
  <conditionalFormatting sqref="H13:H29">
    <cfRule type="cellIs" dxfId="2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"/>
  <dimension ref="A2:P84"/>
  <sheetViews>
    <sheetView showGridLines="0" tabSelected="1" topLeftCell="A13" zoomScaleNormal="100" workbookViewId="0">
      <selection activeCell="B9" sqref="B9:G24"/>
    </sheetView>
  </sheetViews>
  <sheetFormatPr baseColWidth="10" defaultColWidth="11.44140625" defaultRowHeight="13.2" x14ac:dyDescent="0.3"/>
  <cols>
    <col min="1" max="7" width="11.21875" style="1" customWidth="1"/>
    <col min="8" max="11" width="11.44140625" style="1"/>
    <col min="12" max="12" width="15.21875" style="1" customWidth="1"/>
    <col min="13" max="13" width="13.77734375" style="1" customWidth="1"/>
    <col min="14" max="16384" width="11.44140625" style="1"/>
  </cols>
  <sheetData>
    <row r="2" spans="1:16" x14ac:dyDescent="0.3">
      <c r="A2" s="3" t="s">
        <v>20</v>
      </c>
    </row>
    <row r="3" spans="1:16" x14ac:dyDescent="0.3">
      <c r="A3" s="3"/>
    </row>
    <row r="4" spans="1:16" x14ac:dyDescent="0.3">
      <c r="A4" s="233" t="s">
        <v>183</v>
      </c>
      <c r="B4" s="233"/>
      <c r="C4" s="233"/>
      <c r="D4" s="233"/>
      <c r="E4" s="233"/>
      <c r="F4" s="233"/>
      <c r="G4" s="233"/>
    </row>
    <row r="5" spans="1:16" x14ac:dyDescent="0.3">
      <c r="A5" s="233" t="s">
        <v>184</v>
      </c>
      <c r="B5" s="233"/>
      <c r="C5" s="233"/>
      <c r="D5" s="233"/>
      <c r="E5" s="233"/>
      <c r="F5" s="233"/>
      <c r="G5" s="233"/>
    </row>
    <row r="6" spans="1:16" x14ac:dyDescent="0.3">
      <c r="A6" s="233" t="s">
        <v>197</v>
      </c>
      <c r="B6" s="233"/>
      <c r="C6" s="233"/>
      <c r="D6" s="233"/>
      <c r="E6" s="233"/>
      <c r="F6" s="233"/>
      <c r="G6" s="233"/>
    </row>
    <row r="7" spans="1:16" ht="21.75" customHeight="1" x14ac:dyDescent="0.3">
      <c r="A7" s="302" t="s">
        <v>0</v>
      </c>
      <c r="B7" s="302" t="s">
        <v>196</v>
      </c>
      <c r="C7" s="302" t="s">
        <v>192</v>
      </c>
      <c r="D7" s="302" t="s">
        <v>193</v>
      </c>
      <c r="E7" s="302" t="s">
        <v>194</v>
      </c>
      <c r="F7" s="302" t="s">
        <v>195</v>
      </c>
      <c r="G7" s="302" t="s">
        <v>180</v>
      </c>
      <c r="I7" s="2"/>
      <c r="J7" s="2"/>
      <c r="K7" s="2"/>
      <c r="L7" s="2"/>
      <c r="M7" s="2" t="s">
        <v>198</v>
      </c>
    </row>
    <row r="8" spans="1:16" ht="21.75" customHeight="1" x14ac:dyDescent="0.3">
      <c r="A8" s="302"/>
      <c r="B8" s="302"/>
      <c r="C8" s="302"/>
      <c r="D8" s="302"/>
      <c r="E8" s="302"/>
      <c r="F8" s="302"/>
      <c r="G8" s="302"/>
      <c r="I8" s="201" t="s">
        <v>21</v>
      </c>
      <c r="J8" s="202" t="s">
        <v>22</v>
      </c>
      <c r="K8" s="202" t="s">
        <v>23</v>
      </c>
      <c r="L8" s="202" t="s">
        <v>24</v>
      </c>
      <c r="M8" s="203" t="s">
        <v>25</v>
      </c>
    </row>
    <row r="9" spans="1:16" x14ac:dyDescent="0.3">
      <c r="A9" s="256">
        <f>+'Tratamiento Preliminar '!B10</f>
        <v>2022</v>
      </c>
      <c r="B9" s="259">
        <f>+'Colector Disposición'!AL17</f>
        <v>900.0000000000083</v>
      </c>
      <c r="C9" s="259">
        <f t="shared" ref="C9:C24" si="0">+B9</f>
        <v>900.0000000000083</v>
      </c>
      <c r="D9" s="271">
        <f>+'Colector Disposición'!BF17</f>
        <v>1.9929505713851094</v>
      </c>
      <c r="E9" s="259">
        <f>+L19</f>
        <v>858.01686336503826</v>
      </c>
      <c r="F9" s="259">
        <f>+'[1]Tabla 11-a Dda AS Tot'!P14</f>
        <v>539.32686198969941</v>
      </c>
      <c r="G9" s="259">
        <f t="shared" ref="G9:G24" si="1">+C9-F9</f>
        <v>360.67313801030889</v>
      </c>
      <c r="I9" s="204" t="s">
        <v>26</v>
      </c>
      <c r="J9" s="245">
        <v>900</v>
      </c>
      <c r="K9" s="297">
        <v>900</v>
      </c>
      <c r="L9" s="245">
        <v>348.54199999999997</v>
      </c>
      <c r="M9" s="205">
        <v>2.3999999999999998E-3</v>
      </c>
      <c r="P9" s="299">
        <f>+M9</f>
        <v>2.3999999999999998E-3</v>
      </c>
    </row>
    <row r="10" spans="1:16" x14ac:dyDescent="0.3">
      <c r="A10" s="257">
        <f>+A9+1</f>
        <v>2023</v>
      </c>
      <c r="B10" s="260">
        <f t="shared" ref="B10:B25" si="2">+B9</f>
        <v>900.0000000000083</v>
      </c>
      <c r="C10" s="260">
        <f t="shared" si="0"/>
        <v>900.0000000000083</v>
      </c>
      <c r="D10" s="272">
        <f t="shared" ref="D10:E25" si="3">+D9</f>
        <v>1.9929505713851094</v>
      </c>
      <c r="E10" s="260">
        <f t="shared" si="3"/>
        <v>858.01686336503826</v>
      </c>
      <c r="F10" s="260">
        <f>+'[1]Tabla 11-a Dda AS Tot'!P15</f>
        <v>554.27322169912554</v>
      </c>
      <c r="G10" s="260">
        <f t="shared" si="1"/>
        <v>345.72677830088276</v>
      </c>
      <c r="I10" s="204" t="s">
        <v>26</v>
      </c>
      <c r="J10" s="245">
        <v>900</v>
      </c>
      <c r="K10" s="297">
        <v>900</v>
      </c>
      <c r="L10" s="245">
        <v>157.78700000000001</v>
      </c>
      <c r="M10" s="205">
        <v>5.3E-3</v>
      </c>
      <c r="P10" s="299">
        <f t="shared" ref="P10:P17" si="4">+M10</f>
        <v>5.3E-3</v>
      </c>
    </row>
    <row r="11" spans="1:16" x14ac:dyDescent="0.3">
      <c r="A11" s="257">
        <f t="shared" ref="A11:A25" si="5">+A10+1</f>
        <v>2024</v>
      </c>
      <c r="B11" s="260">
        <f t="shared" si="2"/>
        <v>900.0000000000083</v>
      </c>
      <c r="C11" s="260">
        <f t="shared" si="0"/>
        <v>900.0000000000083</v>
      </c>
      <c r="D11" s="272">
        <f t="shared" si="3"/>
        <v>1.9929505713851094</v>
      </c>
      <c r="E11" s="260">
        <f t="shared" si="3"/>
        <v>858.01686336503826</v>
      </c>
      <c r="F11" s="260">
        <f>+'[1]Tabla 11-a Dda AS Tot'!P16</f>
        <v>565.57657510223203</v>
      </c>
      <c r="G11" s="260">
        <f t="shared" si="1"/>
        <v>334.42342489777627</v>
      </c>
      <c r="I11" s="204" t="s">
        <v>26</v>
      </c>
      <c r="J11" s="245">
        <v>900</v>
      </c>
      <c r="K11" s="297">
        <v>900</v>
      </c>
      <c r="L11" s="245">
        <v>407.4</v>
      </c>
      <c r="M11" s="205">
        <v>1.1999999999999999E-3</v>
      </c>
      <c r="P11" s="299">
        <f t="shared" si="4"/>
        <v>1.1999999999999999E-3</v>
      </c>
    </row>
    <row r="12" spans="1:16" x14ac:dyDescent="0.3">
      <c r="A12" s="257">
        <f t="shared" si="5"/>
        <v>2025</v>
      </c>
      <c r="B12" s="260">
        <f t="shared" si="2"/>
        <v>900.0000000000083</v>
      </c>
      <c r="C12" s="260">
        <f t="shared" si="0"/>
        <v>900.0000000000083</v>
      </c>
      <c r="D12" s="272">
        <f t="shared" si="3"/>
        <v>1.9929505713851094</v>
      </c>
      <c r="E12" s="260">
        <f t="shared" si="3"/>
        <v>858.01686336503826</v>
      </c>
      <c r="F12" s="260">
        <f>+'[1]Tabla 11-a Dda AS Tot'!P17</f>
        <v>576.90968792673732</v>
      </c>
      <c r="G12" s="260">
        <f t="shared" si="1"/>
        <v>323.09031207327098</v>
      </c>
      <c r="I12" s="204" t="s">
        <v>26</v>
      </c>
      <c r="J12" s="245">
        <v>900</v>
      </c>
      <c r="K12" s="297">
        <v>900</v>
      </c>
      <c r="L12" s="245">
        <v>202.208</v>
      </c>
      <c r="M12" s="205">
        <v>1.1999999999999999E-3</v>
      </c>
      <c r="P12" s="299">
        <f t="shared" si="4"/>
        <v>1.1999999999999999E-3</v>
      </c>
    </row>
    <row r="13" spans="1:16" x14ac:dyDescent="0.3">
      <c r="A13" s="257">
        <f t="shared" si="5"/>
        <v>2026</v>
      </c>
      <c r="B13" s="260">
        <f t="shared" si="2"/>
        <v>900.0000000000083</v>
      </c>
      <c r="C13" s="260">
        <f t="shared" si="0"/>
        <v>900.0000000000083</v>
      </c>
      <c r="D13" s="272">
        <f t="shared" si="3"/>
        <v>1.9929505713851094</v>
      </c>
      <c r="E13" s="260">
        <f t="shared" si="3"/>
        <v>858.01686336503826</v>
      </c>
      <c r="F13" s="260">
        <f>+'[1]Tabla 11-a Dda AS Tot'!P18</f>
        <v>588.35798884907103</v>
      </c>
      <c r="G13" s="260">
        <f t="shared" si="1"/>
        <v>311.64201115093726</v>
      </c>
      <c r="I13" s="204" t="s">
        <v>27</v>
      </c>
      <c r="J13" s="245">
        <v>900</v>
      </c>
      <c r="K13" s="297">
        <v>825.2</v>
      </c>
      <c r="L13" s="245">
        <v>229</v>
      </c>
      <c r="M13" s="205">
        <v>1.1999999999999999E-3</v>
      </c>
      <c r="P13" s="299">
        <f t="shared" si="4"/>
        <v>1.1999999999999999E-3</v>
      </c>
    </row>
    <row r="14" spans="1:16" x14ac:dyDescent="0.3">
      <c r="A14" s="257">
        <f t="shared" si="5"/>
        <v>2027</v>
      </c>
      <c r="B14" s="260">
        <f t="shared" si="2"/>
        <v>900.0000000000083</v>
      </c>
      <c r="C14" s="260">
        <f t="shared" si="0"/>
        <v>900.0000000000083</v>
      </c>
      <c r="D14" s="272">
        <f t="shared" si="3"/>
        <v>1.9929505713851094</v>
      </c>
      <c r="E14" s="260">
        <f t="shared" si="3"/>
        <v>858.01686336503826</v>
      </c>
      <c r="F14" s="260">
        <f>+'[1]Tabla 11-a Dda AS Tot'!P19</f>
        <v>599.90002958971104</v>
      </c>
      <c r="G14" s="260">
        <f t="shared" si="1"/>
        <v>300.09997041029726</v>
      </c>
      <c r="I14" s="294" t="s">
        <v>27</v>
      </c>
      <c r="J14" s="295">
        <v>900</v>
      </c>
      <c r="K14" s="298">
        <v>825.2</v>
      </c>
      <c r="L14" s="295">
        <v>438.63600000000002</v>
      </c>
      <c r="M14" s="296">
        <v>1.1000000000000001E-3</v>
      </c>
      <c r="P14" s="299">
        <f t="shared" si="4"/>
        <v>1.1000000000000001E-3</v>
      </c>
    </row>
    <row r="15" spans="1:16" x14ac:dyDescent="0.3">
      <c r="A15" s="257">
        <f t="shared" si="5"/>
        <v>2028</v>
      </c>
      <c r="B15" s="260">
        <f t="shared" si="2"/>
        <v>900.0000000000083</v>
      </c>
      <c r="C15" s="260">
        <f t="shared" si="0"/>
        <v>900.0000000000083</v>
      </c>
      <c r="D15" s="272">
        <f t="shared" si="3"/>
        <v>1.9929505713851094</v>
      </c>
      <c r="E15" s="260">
        <f t="shared" si="3"/>
        <v>858.01686336503826</v>
      </c>
      <c r="F15" s="260">
        <f>+'[1]Tabla 11-a Dda AS Tot'!P20</f>
        <v>611.58024217174875</v>
      </c>
      <c r="G15" s="260">
        <f t="shared" si="1"/>
        <v>288.41975782825955</v>
      </c>
      <c r="I15" s="204" t="s">
        <v>27</v>
      </c>
      <c r="J15" s="245">
        <v>900</v>
      </c>
      <c r="K15" s="297">
        <v>825.2</v>
      </c>
      <c r="L15" s="245">
        <v>684</v>
      </c>
      <c r="M15" s="205">
        <v>2.8E-3</v>
      </c>
      <c r="P15" s="299">
        <f t="shared" si="4"/>
        <v>2.8E-3</v>
      </c>
    </row>
    <row r="16" spans="1:16" x14ac:dyDescent="0.3">
      <c r="A16" s="257">
        <f t="shared" si="5"/>
        <v>2029</v>
      </c>
      <c r="B16" s="260">
        <f t="shared" si="2"/>
        <v>900.0000000000083</v>
      </c>
      <c r="C16" s="260">
        <f t="shared" si="0"/>
        <v>900.0000000000083</v>
      </c>
      <c r="D16" s="272">
        <f t="shared" si="3"/>
        <v>1.9929505713851094</v>
      </c>
      <c r="E16" s="260">
        <f t="shared" si="3"/>
        <v>858.01686336503826</v>
      </c>
      <c r="F16" s="260">
        <f>+'[1]Tabla 11-a Dda AS Tot'!P21</f>
        <v>623.28604366242985</v>
      </c>
      <c r="G16" s="260">
        <f t="shared" si="1"/>
        <v>276.71395633757845</v>
      </c>
      <c r="I16" s="204" t="s">
        <v>27</v>
      </c>
      <c r="J16" s="245">
        <v>900</v>
      </c>
      <c r="K16" s="297">
        <v>825.2</v>
      </c>
      <c r="L16" s="245">
        <v>76</v>
      </c>
      <c r="M16" s="265">
        <f>1/100</f>
        <v>0.01</v>
      </c>
      <c r="P16" s="299">
        <f t="shared" si="4"/>
        <v>0.01</v>
      </c>
    </row>
    <row r="17" spans="1:16" x14ac:dyDescent="0.3">
      <c r="A17" s="257">
        <f t="shared" si="5"/>
        <v>2030</v>
      </c>
      <c r="B17" s="260">
        <f t="shared" si="2"/>
        <v>900.0000000000083</v>
      </c>
      <c r="C17" s="260">
        <f t="shared" si="0"/>
        <v>900.0000000000083</v>
      </c>
      <c r="D17" s="272">
        <f t="shared" si="3"/>
        <v>1.9929505713851094</v>
      </c>
      <c r="E17" s="260">
        <f t="shared" si="3"/>
        <v>858.01686336503826</v>
      </c>
      <c r="F17" s="260">
        <f>+'[1]Tabla 11-a Dda AS Tot'!P22</f>
        <v>635.10745029125223</v>
      </c>
      <c r="G17" s="260">
        <f t="shared" si="1"/>
        <v>264.89254970875606</v>
      </c>
      <c r="I17" s="207"/>
      <c r="J17" s="251"/>
      <c r="K17" s="251">
        <f>+L19</f>
        <v>858.01686336503826</v>
      </c>
      <c r="L17" s="251">
        <f>SUM(L9:L16)</f>
        <v>2543.5729999999999</v>
      </c>
      <c r="M17" s="208">
        <f>+L20</f>
        <v>2.2947252152778789E-3</v>
      </c>
      <c r="P17" s="299">
        <f t="shared" si="4"/>
        <v>2.2947252152778789E-3</v>
      </c>
    </row>
    <row r="18" spans="1:16" x14ac:dyDescent="0.3">
      <c r="A18" s="257">
        <f t="shared" si="5"/>
        <v>2031</v>
      </c>
      <c r="B18" s="260">
        <f t="shared" si="2"/>
        <v>900.0000000000083</v>
      </c>
      <c r="C18" s="260">
        <f t="shared" si="0"/>
        <v>900.0000000000083</v>
      </c>
      <c r="D18" s="272">
        <f t="shared" si="3"/>
        <v>1.9929505713851094</v>
      </c>
      <c r="E18" s="260">
        <f t="shared" si="3"/>
        <v>858.01686336503826</v>
      </c>
      <c r="F18" s="260">
        <f>+'[1]Tabla 11-a Dda AS Tot'!P23</f>
        <v>647.02105130224595</v>
      </c>
      <c r="G18" s="260">
        <f t="shared" si="1"/>
        <v>252.97894869776235</v>
      </c>
    </row>
    <row r="19" spans="1:16" x14ac:dyDescent="0.3">
      <c r="A19" s="257">
        <f t="shared" si="5"/>
        <v>2032</v>
      </c>
      <c r="B19" s="260">
        <f t="shared" si="2"/>
        <v>900.0000000000083</v>
      </c>
      <c r="C19" s="260">
        <f t="shared" si="0"/>
        <v>900.0000000000083</v>
      </c>
      <c r="D19" s="272">
        <f t="shared" si="3"/>
        <v>1.9929505713851094</v>
      </c>
      <c r="E19" s="260">
        <f t="shared" si="3"/>
        <v>858.01686336503826</v>
      </c>
      <c r="F19" s="260">
        <f>+'[1]Tabla 11-a Dda AS Tot'!P24</f>
        <v>659.07378193002603</v>
      </c>
      <c r="G19" s="260">
        <f t="shared" si="1"/>
        <v>240.92621806998227</v>
      </c>
      <c r="K19" s="1" t="s">
        <v>28</v>
      </c>
      <c r="L19" s="245">
        <f>+(SUMPRODUCT(K9:K16,L9:L16))/L17</f>
        <v>858.01686336503826</v>
      </c>
    </row>
    <row r="20" spans="1:16" x14ac:dyDescent="0.3">
      <c r="A20" s="257">
        <f t="shared" si="5"/>
        <v>2033</v>
      </c>
      <c r="B20" s="260">
        <f t="shared" si="2"/>
        <v>900.0000000000083</v>
      </c>
      <c r="C20" s="260">
        <f t="shared" si="0"/>
        <v>900.0000000000083</v>
      </c>
      <c r="D20" s="272">
        <f t="shared" si="3"/>
        <v>1.9929505713851094</v>
      </c>
      <c r="E20" s="260">
        <f t="shared" si="3"/>
        <v>858.01686336503826</v>
      </c>
      <c r="F20" s="260">
        <f>+'[1]Tabla 11-a Dda AS Tot'!P25</f>
        <v>671.14602508429334</v>
      </c>
      <c r="G20" s="260">
        <f t="shared" si="1"/>
        <v>228.85397491571496</v>
      </c>
      <c r="K20" s="1" t="s">
        <v>29</v>
      </c>
      <c r="L20" s="253">
        <f>+((SUMPRODUCT(L9:L16,M9:M16))/L17)</f>
        <v>2.2947252152778789E-3</v>
      </c>
    </row>
    <row r="21" spans="1:16" x14ac:dyDescent="0.3">
      <c r="A21" s="257">
        <f t="shared" si="5"/>
        <v>2034</v>
      </c>
      <c r="B21" s="260">
        <f t="shared" si="2"/>
        <v>900.0000000000083</v>
      </c>
      <c r="C21" s="260">
        <f t="shared" si="0"/>
        <v>900.0000000000083</v>
      </c>
      <c r="D21" s="272">
        <f t="shared" si="3"/>
        <v>1.9929505713851094</v>
      </c>
      <c r="E21" s="260">
        <f t="shared" si="3"/>
        <v>858.01686336503826</v>
      </c>
      <c r="F21" s="260">
        <f>+'[1]Tabla 11-a Dda AS Tot'!P26</f>
        <v>683.33558553389742</v>
      </c>
      <c r="G21" s="260">
        <f t="shared" si="1"/>
        <v>216.66441446611088</v>
      </c>
      <c r="K21" s="1" t="s">
        <v>30</v>
      </c>
      <c r="L21" s="253">
        <v>0.7</v>
      </c>
    </row>
    <row r="22" spans="1:16" x14ac:dyDescent="0.3">
      <c r="A22" s="257">
        <f t="shared" si="5"/>
        <v>2035</v>
      </c>
      <c r="B22" s="260">
        <f t="shared" si="2"/>
        <v>900.0000000000083</v>
      </c>
      <c r="C22" s="260">
        <f t="shared" si="0"/>
        <v>900.0000000000083</v>
      </c>
      <c r="D22" s="272">
        <f t="shared" si="3"/>
        <v>1.9929505713851094</v>
      </c>
      <c r="E22" s="260">
        <f t="shared" si="3"/>
        <v>858.01686336503826</v>
      </c>
      <c r="F22" s="260">
        <f>+'[1]Tabla 11-a Dda AS Tot'!P27</f>
        <v>695.61508831649678</v>
      </c>
      <c r="G22" s="260">
        <f t="shared" si="1"/>
        <v>204.38491168351152</v>
      </c>
      <c r="K22" s="1" t="s">
        <v>31</v>
      </c>
      <c r="L22" s="253">
        <v>8.9999999999999993E-3</v>
      </c>
    </row>
    <row r="23" spans="1:16" x14ac:dyDescent="0.3">
      <c r="A23" s="257">
        <f t="shared" si="5"/>
        <v>2036</v>
      </c>
      <c r="B23" s="260">
        <f t="shared" si="2"/>
        <v>900.0000000000083</v>
      </c>
      <c r="C23" s="260">
        <f t="shared" si="0"/>
        <v>900.0000000000083</v>
      </c>
      <c r="D23" s="272">
        <f t="shared" si="3"/>
        <v>1.9929505713851094</v>
      </c>
      <c r="E23" s="260">
        <f t="shared" si="3"/>
        <v>858.01686336503826</v>
      </c>
      <c r="F23" s="260">
        <f>+'[1]Tabla 11-a Dda AS Tot'!P28</f>
        <v>708.03533703279732</v>
      </c>
      <c r="G23" s="260">
        <f t="shared" si="1"/>
        <v>191.96466296721098</v>
      </c>
      <c r="K23" s="1" t="s">
        <v>32</v>
      </c>
      <c r="L23" s="245">
        <f>+B9</f>
        <v>900.0000000000083</v>
      </c>
    </row>
    <row r="24" spans="1:16" x14ac:dyDescent="0.3">
      <c r="A24" s="258">
        <f t="shared" si="5"/>
        <v>2037</v>
      </c>
      <c r="B24" s="261">
        <f t="shared" si="2"/>
        <v>900.0000000000083</v>
      </c>
      <c r="C24" s="261">
        <f t="shared" si="0"/>
        <v>900.0000000000083</v>
      </c>
      <c r="D24" s="273">
        <f t="shared" si="3"/>
        <v>1.9929505713851094</v>
      </c>
      <c r="E24" s="261">
        <f t="shared" si="3"/>
        <v>858.01686336503826</v>
      </c>
      <c r="F24" s="261">
        <f>+'[1]Tabla 11-a Dda AS Tot'!P29</f>
        <v>720.47094172237837</v>
      </c>
      <c r="G24" s="261">
        <f t="shared" si="1"/>
        <v>179.52905827762993</v>
      </c>
    </row>
    <row r="25" spans="1:16" x14ac:dyDescent="0.3">
      <c r="A25" s="258">
        <f t="shared" si="5"/>
        <v>2038</v>
      </c>
      <c r="B25" s="261">
        <f t="shared" si="2"/>
        <v>900.0000000000083</v>
      </c>
      <c r="C25" s="261">
        <f t="shared" ref="C25" si="6">+B25</f>
        <v>900.0000000000083</v>
      </c>
      <c r="D25" s="273">
        <f t="shared" si="3"/>
        <v>1.9929505713851094</v>
      </c>
      <c r="E25" s="261">
        <f t="shared" si="3"/>
        <v>858.01686336503826</v>
      </c>
      <c r="F25" s="261">
        <f>+'[1]Tabla 11-a Dda AS Tot'!P30</f>
        <v>733.02298140294249</v>
      </c>
      <c r="G25" s="261">
        <f t="shared" ref="G25" si="7">+C25-F25</f>
        <v>166.97701859706581</v>
      </c>
    </row>
    <row r="27" spans="1:16" ht="13.8" x14ac:dyDescent="0.3">
      <c r="A27" s="3" t="s">
        <v>33</v>
      </c>
      <c r="H27" s="11"/>
    </row>
    <row r="28" spans="1:16" ht="13.8" x14ac:dyDescent="0.3">
      <c r="A28" s="1" t="s">
        <v>24</v>
      </c>
      <c r="B28" s="255">
        <v>193</v>
      </c>
      <c r="C28" s="8"/>
      <c r="D28" s="8"/>
      <c r="E28" s="8"/>
      <c r="F28" s="8"/>
      <c r="G28" s="8"/>
      <c r="H28" s="11"/>
      <c r="I28"/>
    </row>
    <row r="29" spans="1:16" ht="13.8" x14ac:dyDescent="0.3">
      <c r="A29" s="1" t="s">
        <v>34</v>
      </c>
      <c r="B29" s="245">
        <f>+L23</f>
        <v>900.0000000000083</v>
      </c>
      <c r="C29" s="5"/>
      <c r="D29" s="5"/>
      <c r="E29" s="5"/>
      <c r="F29" s="5"/>
      <c r="H29" s="11"/>
      <c r="I29"/>
    </row>
    <row r="30" spans="1:16" ht="13.8" x14ac:dyDescent="0.3">
      <c r="A30" s="1" t="s">
        <v>22</v>
      </c>
      <c r="B30" s="245">
        <v>900</v>
      </c>
      <c r="H30" s="11"/>
      <c r="I30"/>
    </row>
    <row r="31" spans="1:16" ht="13.8" x14ac:dyDescent="0.3">
      <c r="A31" s="1" t="s">
        <v>35</v>
      </c>
      <c r="B31" s="2" t="s">
        <v>36</v>
      </c>
      <c r="C31" s="2"/>
      <c r="D31" s="2"/>
      <c r="E31" s="2"/>
      <c r="F31" s="2"/>
      <c r="H31" s="11"/>
      <c r="I31"/>
    </row>
    <row r="32" spans="1:16" ht="13.8" x14ac:dyDescent="0.3">
      <c r="A32" s="1" t="s">
        <v>37</v>
      </c>
      <c r="B32" s="245">
        <f>+B30</f>
        <v>900</v>
      </c>
      <c r="H32" s="11"/>
      <c r="I32"/>
    </row>
    <row r="33" spans="1:9" ht="13.8" x14ac:dyDescent="0.3">
      <c r="A33" s="1" t="s">
        <v>38</v>
      </c>
      <c r="B33" s="245">
        <v>140</v>
      </c>
      <c r="H33" s="11"/>
      <c r="I33"/>
    </row>
    <row r="34" spans="1:9" ht="13.8" x14ac:dyDescent="0.3">
      <c r="A34" s="1" t="s">
        <v>39</v>
      </c>
      <c r="B34" s="254">
        <f>1.22*10^10*(B29/B33)^1.852/(B32^4.871)</f>
        <v>1.559094977864602E-3</v>
      </c>
      <c r="C34" s="12"/>
      <c r="D34" s="12"/>
      <c r="E34" s="12"/>
      <c r="F34" s="12"/>
      <c r="H34" s="11"/>
      <c r="I34"/>
    </row>
    <row r="35" spans="1:9" ht="13.8" x14ac:dyDescent="0.3">
      <c r="A35" s="1" t="s">
        <v>40</v>
      </c>
      <c r="B35" s="254">
        <f>+B34*B28</f>
        <v>0.30090533072786818</v>
      </c>
      <c r="C35" s="4"/>
      <c r="D35" s="4"/>
      <c r="E35" s="4"/>
      <c r="F35" s="4"/>
      <c r="G35" s="4"/>
      <c r="H35" s="11"/>
      <c r="I35"/>
    </row>
    <row r="36" spans="1:9" ht="13.8" x14ac:dyDescent="0.3">
      <c r="A36" s="1" t="s">
        <v>41</v>
      </c>
      <c r="B36" s="254">
        <f>0.25*PI()*(B32/1000)^2</f>
        <v>0.63617251235193317</v>
      </c>
      <c r="C36" s="4"/>
      <c r="H36" s="11"/>
      <c r="I36"/>
    </row>
    <row r="37" spans="1:9" ht="13.8" x14ac:dyDescent="0.3">
      <c r="A37" s="1" t="s">
        <v>42</v>
      </c>
      <c r="B37" s="252">
        <f>+B29/B36/1000</f>
        <v>1.4147106052613048</v>
      </c>
      <c r="C37" s="4"/>
      <c r="H37" s="11"/>
      <c r="I37"/>
    </row>
    <row r="38" spans="1:9" ht="13.8" x14ac:dyDescent="0.3">
      <c r="B38" s="252"/>
      <c r="C38" s="4"/>
      <c r="H38" s="11"/>
      <c r="I38"/>
    </row>
    <row r="39" spans="1:9" ht="13.8" x14ac:dyDescent="0.3">
      <c r="A39" s="233" t="s">
        <v>183</v>
      </c>
      <c r="B39" s="233"/>
      <c r="C39" s="233"/>
      <c r="D39" s="233"/>
      <c r="E39" s="233"/>
      <c r="F39" s="233"/>
      <c r="G39" s="233"/>
      <c r="H39" s="11"/>
      <c r="I39"/>
    </row>
    <row r="40" spans="1:9" ht="13.8" x14ac:dyDescent="0.3">
      <c r="A40" s="233" t="s">
        <v>184</v>
      </c>
      <c r="B40" s="233"/>
      <c r="C40" s="233"/>
      <c r="D40" s="233"/>
      <c r="E40" s="233"/>
      <c r="F40" s="233"/>
      <c r="G40" s="233"/>
      <c r="H40" s="11"/>
      <c r="I40"/>
    </row>
    <row r="41" spans="1:9" ht="13.8" x14ac:dyDescent="0.3">
      <c r="A41" s="233" t="s">
        <v>197</v>
      </c>
      <c r="B41" s="233"/>
      <c r="C41" s="233"/>
      <c r="D41" s="233"/>
      <c r="E41" s="233"/>
      <c r="F41" s="233"/>
      <c r="G41" s="233"/>
      <c r="H41" s="11"/>
      <c r="I41"/>
    </row>
    <row r="42" spans="1:9" ht="21.75" customHeight="1" x14ac:dyDescent="0.3">
      <c r="A42" s="302" t="s">
        <v>0</v>
      </c>
      <c r="B42" s="302" t="s">
        <v>196</v>
      </c>
      <c r="C42" s="302" t="s">
        <v>192</v>
      </c>
      <c r="D42" s="302" t="s">
        <v>193</v>
      </c>
      <c r="E42" s="302" t="s">
        <v>194</v>
      </c>
      <c r="F42" s="302" t="s">
        <v>195</v>
      </c>
      <c r="G42" s="302" t="s">
        <v>180</v>
      </c>
      <c r="H42" s="13"/>
      <c r="I42"/>
    </row>
    <row r="43" spans="1:9" ht="21.75" customHeight="1" x14ac:dyDescent="0.3">
      <c r="A43" s="302"/>
      <c r="B43" s="302"/>
      <c r="C43" s="302"/>
      <c r="D43" s="302"/>
      <c r="E43" s="302"/>
      <c r="F43" s="302"/>
      <c r="G43" s="302"/>
      <c r="H43" s="13"/>
      <c r="I43"/>
    </row>
    <row r="44" spans="1:9" s="264" customFormat="1" x14ac:dyDescent="0.25">
      <c r="A44" s="256">
        <f>+A9</f>
        <v>2022</v>
      </c>
      <c r="B44" s="259">
        <f>+B29</f>
        <v>900.0000000000083</v>
      </c>
      <c r="C44" s="259">
        <f t="shared" ref="C44:C59" si="8">+B44</f>
        <v>900.0000000000083</v>
      </c>
      <c r="D44" s="271">
        <f>+B37</f>
        <v>1.4147106052613048</v>
      </c>
      <c r="E44" s="259">
        <v>900</v>
      </c>
      <c r="F44" s="259">
        <f t="shared" ref="F44:F60" si="9">+F9</f>
        <v>539.32686198969941</v>
      </c>
      <c r="G44" s="259">
        <f t="shared" ref="G44:G59" si="10">+C44-F44</f>
        <v>360.67313801030889</v>
      </c>
      <c r="H44" s="262"/>
      <c r="I44" s="263"/>
    </row>
    <row r="45" spans="1:9" s="264" customFormat="1" x14ac:dyDescent="0.25">
      <c r="A45" s="257">
        <f>+A44+1</f>
        <v>2023</v>
      </c>
      <c r="B45" s="260">
        <f t="shared" ref="B45:B60" si="11">+B44</f>
        <v>900.0000000000083</v>
      </c>
      <c r="C45" s="260">
        <f t="shared" si="8"/>
        <v>900.0000000000083</v>
      </c>
      <c r="D45" s="272">
        <f t="shared" ref="D45:E60" si="12">+D44</f>
        <v>1.4147106052613048</v>
      </c>
      <c r="E45" s="260">
        <f t="shared" si="12"/>
        <v>900</v>
      </c>
      <c r="F45" s="260">
        <f t="shared" si="9"/>
        <v>554.27322169912554</v>
      </c>
      <c r="G45" s="260">
        <f t="shared" si="10"/>
        <v>345.72677830088276</v>
      </c>
      <c r="H45" s="262"/>
      <c r="I45" s="263"/>
    </row>
    <row r="46" spans="1:9" s="264" customFormat="1" x14ac:dyDescent="0.25">
      <c r="A46" s="257">
        <f t="shared" ref="A46:A60" si="13">+A45+1</f>
        <v>2024</v>
      </c>
      <c r="B46" s="260">
        <f t="shared" si="11"/>
        <v>900.0000000000083</v>
      </c>
      <c r="C46" s="260">
        <f t="shared" si="8"/>
        <v>900.0000000000083</v>
      </c>
      <c r="D46" s="272">
        <f t="shared" si="12"/>
        <v>1.4147106052613048</v>
      </c>
      <c r="E46" s="260">
        <f t="shared" si="12"/>
        <v>900</v>
      </c>
      <c r="F46" s="260">
        <f t="shared" si="9"/>
        <v>565.57657510223203</v>
      </c>
      <c r="G46" s="260">
        <f t="shared" si="10"/>
        <v>334.42342489777627</v>
      </c>
      <c r="H46" s="262"/>
      <c r="I46" s="263"/>
    </row>
    <row r="47" spans="1:9" s="264" customFormat="1" x14ac:dyDescent="0.25">
      <c r="A47" s="257">
        <f t="shared" si="13"/>
        <v>2025</v>
      </c>
      <c r="B47" s="260">
        <f t="shared" si="11"/>
        <v>900.0000000000083</v>
      </c>
      <c r="C47" s="260">
        <f t="shared" si="8"/>
        <v>900.0000000000083</v>
      </c>
      <c r="D47" s="272">
        <f t="shared" si="12"/>
        <v>1.4147106052613048</v>
      </c>
      <c r="E47" s="260">
        <f t="shared" si="12"/>
        <v>900</v>
      </c>
      <c r="F47" s="260">
        <f t="shared" si="9"/>
        <v>576.90968792673732</v>
      </c>
      <c r="G47" s="260">
        <f t="shared" si="10"/>
        <v>323.09031207327098</v>
      </c>
      <c r="H47" s="262"/>
      <c r="I47" s="263"/>
    </row>
    <row r="48" spans="1:9" s="264" customFormat="1" x14ac:dyDescent="0.25">
      <c r="A48" s="257">
        <f t="shared" si="13"/>
        <v>2026</v>
      </c>
      <c r="B48" s="260">
        <f t="shared" si="11"/>
        <v>900.0000000000083</v>
      </c>
      <c r="C48" s="260">
        <f t="shared" si="8"/>
        <v>900.0000000000083</v>
      </c>
      <c r="D48" s="272">
        <f t="shared" si="12"/>
        <v>1.4147106052613048</v>
      </c>
      <c r="E48" s="260">
        <f t="shared" si="12"/>
        <v>900</v>
      </c>
      <c r="F48" s="260">
        <f t="shared" si="9"/>
        <v>588.35798884907103</v>
      </c>
      <c r="G48" s="260">
        <f t="shared" si="10"/>
        <v>311.64201115093726</v>
      </c>
      <c r="H48" s="262"/>
    </row>
    <row r="49" spans="1:11" s="264" customFormat="1" x14ac:dyDescent="0.25">
      <c r="A49" s="257">
        <f t="shared" si="13"/>
        <v>2027</v>
      </c>
      <c r="B49" s="260">
        <f t="shared" si="11"/>
        <v>900.0000000000083</v>
      </c>
      <c r="C49" s="260">
        <f t="shared" si="8"/>
        <v>900.0000000000083</v>
      </c>
      <c r="D49" s="272">
        <f t="shared" si="12"/>
        <v>1.4147106052613048</v>
      </c>
      <c r="E49" s="260">
        <f t="shared" si="12"/>
        <v>900</v>
      </c>
      <c r="F49" s="260">
        <f t="shared" si="9"/>
        <v>599.90002958971104</v>
      </c>
      <c r="G49" s="260">
        <f t="shared" si="10"/>
        <v>300.09997041029726</v>
      </c>
      <c r="H49" s="262"/>
    </row>
    <row r="50" spans="1:11" s="264" customFormat="1" x14ac:dyDescent="0.25">
      <c r="A50" s="257">
        <f t="shared" si="13"/>
        <v>2028</v>
      </c>
      <c r="B50" s="260">
        <f t="shared" si="11"/>
        <v>900.0000000000083</v>
      </c>
      <c r="C50" s="260">
        <f t="shared" si="8"/>
        <v>900.0000000000083</v>
      </c>
      <c r="D50" s="272">
        <f t="shared" si="12"/>
        <v>1.4147106052613048</v>
      </c>
      <c r="E50" s="260">
        <f t="shared" si="12"/>
        <v>900</v>
      </c>
      <c r="F50" s="260">
        <f t="shared" si="9"/>
        <v>611.58024217174875</v>
      </c>
      <c r="G50" s="260">
        <f t="shared" si="10"/>
        <v>288.41975782825955</v>
      </c>
      <c r="H50" s="262"/>
      <c r="K50" s="263"/>
    </row>
    <row r="51" spans="1:11" s="264" customFormat="1" x14ac:dyDescent="0.25">
      <c r="A51" s="257">
        <f t="shared" si="13"/>
        <v>2029</v>
      </c>
      <c r="B51" s="260">
        <f t="shared" si="11"/>
        <v>900.0000000000083</v>
      </c>
      <c r="C51" s="260">
        <f t="shared" si="8"/>
        <v>900.0000000000083</v>
      </c>
      <c r="D51" s="272">
        <f t="shared" si="12"/>
        <v>1.4147106052613048</v>
      </c>
      <c r="E51" s="260">
        <f t="shared" si="12"/>
        <v>900</v>
      </c>
      <c r="F51" s="260">
        <f t="shared" si="9"/>
        <v>623.28604366242985</v>
      </c>
      <c r="G51" s="260">
        <f t="shared" si="10"/>
        <v>276.71395633757845</v>
      </c>
      <c r="H51" s="262"/>
      <c r="K51" s="263"/>
    </row>
    <row r="52" spans="1:11" s="264" customFormat="1" x14ac:dyDescent="0.25">
      <c r="A52" s="257">
        <f t="shared" si="13"/>
        <v>2030</v>
      </c>
      <c r="B52" s="260">
        <f t="shared" si="11"/>
        <v>900.0000000000083</v>
      </c>
      <c r="C52" s="260">
        <f t="shared" si="8"/>
        <v>900.0000000000083</v>
      </c>
      <c r="D52" s="272">
        <f t="shared" si="12"/>
        <v>1.4147106052613048</v>
      </c>
      <c r="E52" s="260">
        <f t="shared" si="12"/>
        <v>900</v>
      </c>
      <c r="F52" s="260">
        <f t="shared" si="9"/>
        <v>635.10745029125223</v>
      </c>
      <c r="G52" s="260">
        <f t="shared" si="10"/>
        <v>264.89254970875606</v>
      </c>
      <c r="H52" s="262"/>
      <c r="K52" s="263"/>
    </row>
    <row r="53" spans="1:11" s="264" customFormat="1" x14ac:dyDescent="0.25">
      <c r="A53" s="257">
        <f t="shared" si="13"/>
        <v>2031</v>
      </c>
      <c r="B53" s="260">
        <f t="shared" si="11"/>
        <v>900.0000000000083</v>
      </c>
      <c r="C53" s="260">
        <f t="shared" si="8"/>
        <v>900.0000000000083</v>
      </c>
      <c r="D53" s="272">
        <f t="shared" si="12"/>
        <v>1.4147106052613048</v>
      </c>
      <c r="E53" s="260">
        <f t="shared" si="12"/>
        <v>900</v>
      </c>
      <c r="F53" s="260">
        <f t="shared" si="9"/>
        <v>647.02105130224595</v>
      </c>
      <c r="G53" s="260">
        <f t="shared" si="10"/>
        <v>252.97894869776235</v>
      </c>
      <c r="H53" s="262"/>
      <c r="K53" s="263"/>
    </row>
    <row r="54" spans="1:11" s="264" customFormat="1" x14ac:dyDescent="0.25">
      <c r="A54" s="257">
        <f t="shared" si="13"/>
        <v>2032</v>
      </c>
      <c r="B54" s="260">
        <f t="shared" si="11"/>
        <v>900.0000000000083</v>
      </c>
      <c r="C54" s="260">
        <f t="shared" si="8"/>
        <v>900.0000000000083</v>
      </c>
      <c r="D54" s="272">
        <f t="shared" si="12"/>
        <v>1.4147106052613048</v>
      </c>
      <c r="E54" s="260">
        <f t="shared" si="12"/>
        <v>900</v>
      </c>
      <c r="F54" s="260">
        <f t="shared" si="9"/>
        <v>659.07378193002603</v>
      </c>
      <c r="G54" s="260">
        <f t="shared" si="10"/>
        <v>240.92621806998227</v>
      </c>
      <c r="H54" s="262"/>
      <c r="K54" s="263"/>
    </row>
    <row r="55" spans="1:11" s="264" customFormat="1" x14ac:dyDescent="0.25">
      <c r="A55" s="257">
        <f t="shared" si="13"/>
        <v>2033</v>
      </c>
      <c r="B55" s="260">
        <f t="shared" si="11"/>
        <v>900.0000000000083</v>
      </c>
      <c r="C55" s="260">
        <f t="shared" si="8"/>
        <v>900.0000000000083</v>
      </c>
      <c r="D55" s="272">
        <f t="shared" si="12"/>
        <v>1.4147106052613048</v>
      </c>
      <c r="E55" s="260">
        <f t="shared" si="12"/>
        <v>900</v>
      </c>
      <c r="F55" s="260">
        <f t="shared" si="9"/>
        <v>671.14602508429334</v>
      </c>
      <c r="G55" s="260">
        <f t="shared" si="10"/>
        <v>228.85397491571496</v>
      </c>
      <c r="H55" s="262"/>
      <c r="K55" s="263"/>
    </row>
    <row r="56" spans="1:11" s="264" customFormat="1" x14ac:dyDescent="0.25">
      <c r="A56" s="257">
        <f t="shared" si="13"/>
        <v>2034</v>
      </c>
      <c r="B56" s="260">
        <f t="shared" si="11"/>
        <v>900.0000000000083</v>
      </c>
      <c r="C56" s="260">
        <f t="shared" si="8"/>
        <v>900.0000000000083</v>
      </c>
      <c r="D56" s="272">
        <f t="shared" si="12"/>
        <v>1.4147106052613048</v>
      </c>
      <c r="E56" s="260">
        <f t="shared" si="12"/>
        <v>900</v>
      </c>
      <c r="F56" s="260">
        <f t="shared" si="9"/>
        <v>683.33558553389742</v>
      </c>
      <c r="G56" s="260">
        <f t="shared" si="10"/>
        <v>216.66441446611088</v>
      </c>
      <c r="H56" s="262"/>
      <c r="K56" s="263"/>
    </row>
    <row r="57" spans="1:11" s="264" customFormat="1" x14ac:dyDescent="0.25">
      <c r="A57" s="257">
        <f t="shared" si="13"/>
        <v>2035</v>
      </c>
      <c r="B57" s="260">
        <f t="shared" si="11"/>
        <v>900.0000000000083</v>
      </c>
      <c r="C57" s="260">
        <f t="shared" si="8"/>
        <v>900.0000000000083</v>
      </c>
      <c r="D57" s="272">
        <f t="shared" si="12"/>
        <v>1.4147106052613048</v>
      </c>
      <c r="E57" s="260">
        <f t="shared" si="12"/>
        <v>900</v>
      </c>
      <c r="F57" s="260">
        <f t="shared" si="9"/>
        <v>695.61508831649678</v>
      </c>
      <c r="G57" s="260">
        <f t="shared" si="10"/>
        <v>204.38491168351152</v>
      </c>
      <c r="H57" s="262"/>
      <c r="K57" s="263"/>
    </row>
    <row r="58" spans="1:11" s="264" customFormat="1" x14ac:dyDescent="0.25">
      <c r="A58" s="257">
        <f t="shared" si="13"/>
        <v>2036</v>
      </c>
      <c r="B58" s="260">
        <f t="shared" si="11"/>
        <v>900.0000000000083</v>
      </c>
      <c r="C58" s="260">
        <f t="shared" si="8"/>
        <v>900.0000000000083</v>
      </c>
      <c r="D58" s="272">
        <f t="shared" si="12"/>
        <v>1.4147106052613048</v>
      </c>
      <c r="E58" s="260">
        <f t="shared" si="12"/>
        <v>900</v>
      </c>
      <c r="F58" s="260">
        <f t="shared" si="9"/>
        <v>708.03533703279732</v>
      </c>
      <c r="G58" s="260">
        <f t="shared" si="10"/>
        <v>191.96466296721098</v>
      </c>
      <c r="H58" s="262"/>
      <c r="K58" s="263"/>
    </row>
    <row r="59" spans="1:11" s="264" customFormat="1" x14ac:dyDescent="0.25">
      <c r="A59" s="258">
        <f t="shared" si="13"/>
        <v>2037</v>
      </c>
      <c r="B59" s="261">
        <f t="shared" si="11"/>
        <v>900.0000000000083</v>
      </c>
      <c r="C59" s="261">
        <f t="shared" si="8"/>
        <v>900.0000000000083</v>
      </c>
      <c r="D59" s="273">
        <f t="shared" si="12"/>
        <v>1.4147106052613048</v>
      </c>
      <c r="E59" s="261">
        <f t="shared" si="12"/>
        <v>900</v>
      </c>
      <c r="F59" s="261">
        <f t="shared" si="9"/>
        <v>720.47094172237837</v>
      </c>
      <c r="G59" s="261">
        <f t="shared" si="10"/>
        <v>179.52905827762993</v>
      </c>
      <c r="H59" s="262"/>
      <c r="K59" s="263"/>
    </row>
    <row r="60" spans="1:11" x14ac:dyDescent="0.3">
      <c r="A60" s="258">
        <f t="shared" si="13"/>
        <v>2038</v>
      </c>
      <c r="B60" s="261">
        <f t="shared" si="11"/>
        <v>900.0000000000083</v>
      </c>
      <c r="C60" s="261">
        <f t="shared" ref="C60" si="14">+B60</f>
        <v>900.0000000000083</v>
      </c>
      <c r="D60" s="273">
        <f t="shared" si="12"/>
        <v>1.4147106052613048</v>
      </c>
      <c r="E60" s="261">
        <f t="shared" si="12"/>
        <v>900</v>
      </c>
      <c r="F60" s="261">
        <f t="shared" si="9"/>
        <v>733.02298140294249</v>
      </c>
      <c r="G60" s="261">
        <f t="shared" ref="G60" si="15">+C60-F60</f>
        <v>166.97701859706581</v>
      </c>
    </row>
    <row r="62" spans="1:11" x14ac:dyDescent="0.3">
      <c r="A62" s="3"/>
    </row>
    <row r="63" spans="1:11" x14ac:dyDescent="0.3">
      <c r="A63" s="3"/>
    </row>
    <row r="64" spans="1:11" x14ac:dyDescent="0.3">
      <c r="A64" s="266"/>
      <c r="B64" s="266"/>
      <c r="C64" s="266"/>
      <c r="D64" s="266"/>
      <c r="E64" s="266"/>
      <c r="F64" s="266"/>
      <c r="G64" s="266"/>
    </row>
    <row r="65" spans="1:7" x14ac:dyDescent="0.3">
      <c r="A65" s="266"/>
      <c r="B65" s="266"/>
      <c r="C65" s="266"/>
      <c r="D65" s="266"/>
      <c r="E65" s="266"/>
      <c r="F65" s="266"/>
      <c r="G65" s="266"/>
    </row>
    <row r="66" spans="1:7" x14ac:dyDescent="0.3">
      <c r="A66" s="266"/>
      <c r="B66" s="266"/>
      <c r="C66" s="266"/>
      <c r="D66" s="266"/>
      <c r="E66" s="266"/>
      <c r="F66" s="266"/>
      <c r="G66" s="266"/>
    </row>
    <row r="67" spans="1:7" ht="21.75" customHeight="1" x14ac:dyDescent="0.3">
      <c r="A67" s="303"/>
      <c r="B67" s="303"/>
      <c r="C67" s="303"/>
      <c r="D67" s="303"/>
      <c r="E67" s="303"/>
      <c r="F67" s="303"/>
      <c r="G67" s="303"/>
    </row>
    <row r="68" spans="1:7" ht="21.75" customHeight="1" x14ac:dyDescent="0.3">
      <c r="A68" s="303"/>
      <c r="B68" s="303"/>
      <c r="C68" s="303"/>
      <c r="D68" s="303"/>
      <c r="E68" s="303"/>
      <c r="F68" s="303"/>
      <c r="G68" s="303"/>
    </row>
    <row r="69" spans="1:7" x14ac:dyDescent="0.3">
      <c r="A69" s="267"/>
      <c r="B69" s="268"/>
      <c r="C69" s="268"/>
      <c r="D69" s="269"/>
      <c r="E69" s="268"/>
      <c r="F69" s="270"/>
      <c r="G69" s="268"/>
    </row>
    <row r="70" spans="1:7" x14ac:dyDescent="0.3">
      <c r="A70" s="267"/>
      <c r="B70" s="268"/>
      <c r="C70" s="268"/>
      <c r="D70" s="269"/>
      <c r="E70" s="268"/>
      <c r="F70" s="270"/>
      <c r="G70" s="268"/>
    </row>
    <row r="71" spans="1:7" x14ac:dyDescent="0.3">
      <c r="A71" s="267"/>
      <c r="B71" s="268"/>
      <c r="C71" s="268"/>
      <c r="D71" s="269"/>
      <c r="E71" s="268"/>
      <c r="F71" s="270"/>
      <c r="G71" s="268"/>
    </row>
    <row r="72" spans="1:7" x14ac:dyDescent="0.3">
      <c r="A72" s="267"/>
      <c r="B72" s="268"/>
      <c r="C72" s="268"/>
      <c r="D72" s="269"/>
      <c r="E72" s="268"/>
      <c r="F72" s="270"/>
      <c r="G72" s="268"/>
    </row>
    <row r="73" spans="1:7" x14ac:dyDescent="0.3">
      <c r="A73" s="267"/>
      <c r="B73" s="268"/>
      <c r="C73" s="268"/>
      <c r="D73" s="269"/>
      <c r="E73" s="268"/>
      <c r="F73" s="270"/>
      <c r="G73" s="268"/>
    </row>
    <row r="74" spans="1:7" x14ac:dyDescent="0.3">
      <c r="A74" s="267"/>
      <c r="B74" s="268"/>
      <c r="C74" s="268"/>
      <c r="D74" s="269"/>
      <c r="E74" s="268"/>
      <c r="F74" s="270"/>
      <c r="G74" s="268"/>
    </row>
    <row r="75" spans="1:7" x14ac:dyDescent="0.3">
      <c r="A75" s="267"/>
      <c r="B75" s="268"/>
      <c r="C75" s="268"/>
      <c r="D75" s="269"/>
      <c r="E75" s="268"/>
      <c r="F75" s="270"/>
      <c r="G75" s="268"/>
    </row>
    <row r="76" spans="1:7" x14ac:dyDescent="0.3">
      <c r="A76" s="267"/>
      <c r="B76" s="268"/>
      <c r="C76" s="268"/>
      <c r="D76" s="269"/>
      <c r="E76" s="268"/>
      <c r="F76" s="270"/>
      <c r="G76" s="268"/>
    </row>
    <row r="77" spans="1:7" x14ac:dyDescent="0.3">
      <c r="A77" s="267"/>
      <c r="B77" s="268"/>
      <c r="C77" s="268"/>
      <c r="D77" s="269"/>
      <c r="E77" s="268"/>
      <c r="F77" s="270"/>
      <c r="G77" s="268"/>
    </row>
    <row r="78" spans="1:7" x14ac:dyDescent="0.3">
      <c r="A78" s="267"/>
      <c r="B78" s="268"/>
      <c r="C78" s="268"/>
      <c r="D78" s="269"/>
      <c r="E78" s="268"/>
      <c r="F78" s="270"/>
      <c r="G78" s="268"/>
    </row>
    <row r="79" spans="1:7" x14ac:dyDescent="0.3">
      <c r="A79" s="267"/>
      <c r="B79" s="268"/>
      <c r="C79" s="268"/>
      <c r="D79" s="269"/>
      <c r="E79" s="268"/>
      <c r="F79" s="270"/>
      <c r="G79" s="268"/>
    </row>
    <row r="80" spans="1:7" x14ac:dyDescent="0.3">
      <c r="A80" s="267"/>
      <c r="B80" s="268"/>
      <c r="C80" s="268"/>
      <c r="D80" s="269"/>
      <c r="E80" s="268"/>
      <c r="F80" s="270"/>
      <c r="G80" s="268"/>
    </row>
    <row r="81" spans="1:7" x14ac:dyDescent="0.3">
      <c r="A81" s="267"/>
      <c r="B81" s="268"/>
      <c r="C81" s="268"/>
      <c r="D81" s="269"/>
      <c r="E81" s="268"/>
      <c r="F81" s="270"/>
      <c r="G81" s="268"/>
    </row>
    <row r="82" spans="1:7" x14ac:dyDescent="0.3">
      <c r="A82" s="267"/>
      <c r="B82" s="268"/>
      <c r="C82" s="268"/>
      <c r="D82" s="269"/>
      <c r="E82" s="268"/>
      <c r="F82" s="270"/>
      <c r="G82" s="268"/>
    </row>
    <row r="83" spans="1:7" x14ac:dyDescent="0.3">
      <c r="A83" s="267"/>
      <c r="B83" s="268"/>
      <c r="C83" s="268"/>
      <c r="D83" s="269"/>
      <c r="E83" s="268"/>
      <c r="F83" s="270"/>
      <c r="G83" s="268"/>
    </row>
    <row r="84" spans="1:7" x14ac:dyDescent="0.3">
      <c r="A84" s="267"/>
      <c r="B84" s="268"/>
      <c r="C84" s="268"/>
      <c r="D84" s="269"/>
      <c r="E84" s="268"/>
      <c r="F84" s="270"/>
      <c r="G84" s="268"/>
    </row>
  </sheetData>
  <mergeCells count="21">
    <mergeCell ref="G67:G68"/>
    <mergeCell ref="G7:G8"/>
    <mergeCell ref="D7:D8"/>
    <mergeCell ref="E7:E8"/>
    <mergeCell ref="B7:B8"/>
    <mergeCell ref="C7:C8"/>
    <mergeCell ref="F42:F43"/>
    <mergeCell ref="G42:G43"/>
    <mergeCell ref="A7:A8"/>
    <mergeCell ref="F7:F8"/>
    <mergeCell ref="A67:A68"/>
    <mergeCell ref="B67:B68"/>
    <mergeCell ref="C67:C68"/>
    <mergeCell ref="D67:D68"/>
    <mergeCell ref="E67:E68"/>
    <mergeCell ref="F67:F68"/>
    <mergeCell ref="A42:A43"/>
    <mergeCell ref="B42:B43"/>
    <mergeCell ref="C42:C43"/>
    <mergeCell ref="D42:D43"/>
    <mergeCell ref="E42:E43"/>
  </mergeCells>
  <conditionalFormatting sqref="G9:G25">
    <cfRule type="cellIs" dxfId="1" priority="2" operator="lessThan">
      <formula>0</formula>
    </cfRule>
  </conditionalFormatting>
  <conditionalFormatting sqref="G44:G60">
    <cfRule type="cellIs" dxfId="0" priority="1" operator="lessThan">
      <formula>0</formula>
    </cfRule>
  </conditionalFormatting>
  <printOptions horizontalCentered="1"/>
  <pageMargins left="0" right="0" top="0.78740157480314965" bottom="2.2799999999999998" header="0" footer="0"/>
  <pageSetup orientation="portrait" r:id="rId1"/>
  <headerFooter alignWithMargins="0"/>
  <ignoredErrors>
    <ignoredError sqref="C10:C24 C45:C5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CB957-EB78-4118-A7FC-0DF6CA13D395}">
  <sheetPr syncVertical="1" syncRef="W1" transitionEvaluation="1"/>
  <dimension ref="A8:CJ47"/>
  <sheetViews>
    <sheetView showGridLines="0" topLeftCell="W1" zoomScaleNormal="100" zoomScaleSheetLayoutView="85" workbookViewId="0">
      <selection activeCell="AL17" sqref="AL17"/>
    </sheetView>
  </sheetViews>
  <sheetFormatPr baseColWidth="10" defaultColWidth="9.77734375" defaultRowHeight="10.199999999999999" x14ac:dyDescent="0.2"/>
  <cols>
    <col min="1" max="1" width="19.44140625" style="18" customWidth="1"/>
    <col min="2" max="3" width="10.77734375" style="18" customWidth="1"/>
    <col min="4" max="4" width="10.44140625" style="18" bestFit="1" customWidth="1"/>
    <col min="5" max="5" width="9" style="18" customWidth="1"/>
    <col min="6" max="6" width="10.21875" style="18" customWidth="1"/>
    <col min="7" max="7" width="9.44140625" style="18" customWidth="1"/>
    <col min="8" max="8" width="9.77734375" style="19" bestFit="1" customWidth="1"/>
    <col min="9" max="10" width="9.21875" style="18" hidden="1" customWidth="1"/>
    <col min="11" max="12" width="6.77734375" style="18" hidden="1" customWidth="1"/>
    <col min="13" max="13" width="11.21875" style="18" bestFit="1" customWidth="1"/>
    <col min="14" max="14" width="11" style="18" customWidth="1"/>
    <col min="15" max="15" width="12.21875" style="20" bestFit="1" customWidth="1"/>
    <col min="16" max="16" width="10.44140625" style="19" customWidth="1"/>
    <col min="17" max="17" width="13.21875" style="21" customWidth="1"/>
    <col min="18" max="18" width="17.77734375" style="18" customWidth="1"/>
    <col min="19" max="19" width="8.44140625" style="19" customWidth="1"/>
    <col min="20" max="20" width="8.21875" style="21" customWidth="1"/>
    <col min="21" max="21" width="8.5546875" style="19" bestFit="1" customWidth="1"/>
    <col min="22" max="22" width="8.77734375" style="21" customWidth="1"/>
    <col min="23" max="23" width="8.77734375" style="19" customWidth="1"/>
    <col min="24" max="24" width="9" style="13" customWidth="1"/>
    <col min="25" max="25" width="7.5546875" style="19" customWidth="1"/>
    <col min="26" max="27" width="9" style="13" customWidth="1"/>
    <col min="28" max="28" width="7.5546875" style="19" customWidth="1"/>
    <col min="29" max="29" width="6.77734375" style="18" hidden="1" customWidth="1"/>
    <col min="30" max="30" width="6.21875" style="18" hidden="1" customWidth="1"/>
    <col min="31" max="31" width="8.21875" style="18" hidden="1" customWidth="1"/>
    <col min="32" max="32" width="6.77734375" style="18" hidden="1" customWidth="1"/>
    <col min="33" max="34" width="8.21875" style="18" hidden="1" customWidth="1"/>
    <col min="35" max="35" width="7.44140625" style="22" hidden="1" customWidth="1"/>
    <col min="36" max="36" width="8.44140625" style="22" hidden="1" customWidth="1"/>
    <col min="37" max="37" width="7.5546875" style="18" hidden="1" customWidth="1"/>
    <col min="38" max="38" width="12.44140625" style="19" bestFit="1" customWidth="1"/>
    <col min="39" max="39" width="9" style="23" bestFit="1" customWidth="1"/>
    <col min="40" max="40" width="7.21875" style="18" bestFit="1" customWidth="1"/>
    <col min="41" max="41" width="8.21875" style="18" bestFit="1" customWidth="1"/>
    <col min="42" max="42" width="8.21875" style="18" customWidth="1"/>
    <col min="43" max="43" width="8.77734375" style="18" customWidth="1"/>
    <col min="44" max="44" width="13.77734375" style="18" bestFit="1" customWidth="1"/>
    <col min="45" max="45" width="8.77734375" style="18" bestFit="1" customWidth="1"/>
    <col min="46" max="46" width="8.21875" style="18" hidden="1" customWidth="1"/>
    <col min="47" max="47" width="6.21875" style="18" hidden="1" customWidth="1"/>
    <col min="48" max="48" width="8.77734375" style="18" hidden="1" customWidth="1"/>
    <col min="49" max="49" width="12.21875" style="18" hidden="1" customWidth="1"/>
    <col min="50" max="50" width="8.77734375" style="18" hidden="1" customWidth="1"/>
    <col min="51" max="51" width="10.77734375" style="18" customWidth="1"/>
    <col min="52" max="52" width="7.5546875" style="18" hidden="1" customWidth="1"/>
    <col min="53" max="53" width="7.44140625" style="18" hidden="1" customWidth="1"/>
    <col min="54" max="54" width="9" style="18" hidden="1" customWidth="1"/>
    <col min="55" max="55" width="8.21875" style="18" hidden="1" customWidth="1"/>
    <col min="56" max="56" width="9.21875" style="18" hidden="1" customWidth="1"/>
    <col min="57" max="57" width="7.44140625" style="18" hidden="1" customWidth="1"/>
    <col min="58" max="58" width="9.21875" style="18" customWidth="1"/>
    <col min="59" max="59" width="8.21875" style="18" customWidth="1"/>
    <col min="60" max="60" width="9.77734375" style="18" customWidth="1"/>
    <col min="61" max="61" width="8.77734375" style="18" hidden="1" customWidth="1"/>
    <col min="62" max="62" width="6.77734375" style="18" hidden="1" customWidth="1"/>
    <col min="63" max="63" width="9" style="18" hidden="1" customWidth="1"/>
    <col min="64" max="64" width="6.77734375" style="18" hidden="1" customWidth="1"/>
    <col min="65" max="65" width="7.5546875" style="18" hidden="1" customWidth="1"/>
    <col min="66" max="66" width="8.21875" style="18" hidden="1" customWidth="1"/>
    <col min="67" max="68" width="7.77734375" style="18" hidden="1" customWidth="1"/>
    <col min="69" max="69" width="8.77734375" style="18" hidden="1" customWidth="1"/>
    <col min="70" max="70" width="7.77734375" style="18" hidden="1" customWidth="1"/>
    <col min="71" max="71" width="3.44140625" style="18" hidden="1" customWidth="1"/>
    <col min="72" max="72" width="7.77734375" style="18" hidden="1" customWidth="1"/>
    <col min="73" max="73" width="6" style="18" hidden="1" customWidth="1"/>
    <col min="74" max="74" width="9.44140625" style="20" hidden="1" customWidth="1"/>
    <col min="75" max="75" width="12.21875" style="18" hidden="1" customWidth="1"/>
    <col min="76" max="76" width="8.5546875" style="18" hidden="1" customWidth="1"/>
    <col min="77" max="77" width="9.21875" style="18" customWidth="1"/>
    <col min="78" max="78" width="7" style="18" hidden="1" customWidth="1"/>
    <col min="79" max="79" width="7.5546875" style="18" hidden="1" customWidth="1"/>
    <col min="80" max="80" width="8.44140625" style="18" hidden="1" customWidth="1"/>
    <col min="81" max="81" width="8.21875" style="18" hidden="1" customWidth="1"/>
    <col min="82" max="82" width="6.21875" style="18" hidden="1" customWidth="1"/>
    <col min="83" max="83" width="9.44140625" style="18" hidden="1" customWidth="1"/>
    <col min="84" max="84" width="9" style="18" customWidth="1"/>
    <col min="85" max="85" width="7.77734375" style="18" customWidth="1"/>
    <col min="86" max="86" width="9.44140625" style="18" customWidth="1"/>
    <col min="87" max="16384" width="9.77734375" style="18"/>
  </cols>
  <sheetData>
    <row r="8" spans="1:86" ht="18" customHeight="1" x14ac:dyDescent="0.2">
      <c r="A8" s="304" t="s">
        <v>46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C8" s="304" t="str">
        <f>+A8</f>
        <v>Verificación Colector Disposición</v>
      </c>
      <c r="AD8" s="304"/>
      <c r="AE8" s="304"/>
      <c r="AF8" s="304"/>
      <c r="AG8" s="304"/>
      <c r="AH8" s="304"/>
      <c r="AI8" s="304"/>
      <c r="AJ8" s="304"/>
      <c r="AK8" s="304"/>
      <c r="AL8" s="304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  <c r="BD8" s="304"/>
      <c r="BE8" s="304"/>
      <c r="BF8" s="304"/>
      <c r="BG8" s="304"/>
      <c r="BH8" s="304"/>
      <c r="BI8" s="304"/>
      <c r="BJ8" s="304"/>
      <c r="BK8" s="304"/>
      <c r="BL8" s="304"/>
      <c r="BM8" s="304"/>
      <c r="BN8" s="304"/>
      <c r="BO8" s="304"/>
      <c r="BP8" s="304"/>
      <c r="BQ8" s="304"/>
      <c r="BR8" s="304"/>
      <c r="BS8" s="304"/>
      <c r="BT8" s="304"/>
      <c r="BU8" s="304"/>
      <c r="BV8" s="304"/>
      <c r="BW8" s="304"/>
      <c r="BX8" s="304"/>
      <c r="BY8" s="304"/>
      <c r="BZ8" s="304"/>
      <c r="CA8" s="304"/>
      <c r="CB8" s="304"/>
      <c r="CC8" s="304"/>
      <c r="CD8" s="304"/>
      <c r="CE8" s="304"/>
      <c r="CF8" s="304"/>
      <c r="CG8" s="304"/>
      <c r="CH8" s="304"/>
    </row>
    <row r="9" spans="1:86" ht="18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 t="s">
        <v>47</v>
      </c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</row>
    <row r="10" spans="1:86" ht="13.5" customHeight="1" x14ac:dyDescent="0.2">
      <c r="A10" s="25"/>
      <c r="B10" s="25"/>
      <c r="C10" s="25"/>
      <c r="D10" s="25"/>
      <c r="E10" s="25"/>
      <c r="F10" s="25"/>
      <c r="G10" s="25"/>
      <c r="H10" s="26"/>
      <c r="I10" s="25"/>
      <c r="J10" s="25"/>
      <c r="K10" s="25"/>
      <c r="L10" s="25"/>
      <c r="M10" s="25"/>
      <c r="N10" s="25"/>
      <c r="O10" s="27"/>
      <c r="P10" s="26"/>
      <c r="Q10" s="28"/>
      <c r="R10" s="25"/>
      <c r="S10" s="26"/>
      <c r="T10" s="28"/>
      <c r="U10" s="26"/>
      <c r="V10" s="28"/>
      <c r="W10" s="26"/>
      <c r="X10" s="29"/>
      <c r="Y10" s="26"/>
      <c r="Z10" s="30">
        <v>0.2</v>
      </c>
      <c r="AA10" s="29"/>
      <c r="AB10" s="26"/>
      <c r="AC10" s="25"/>
      <c r="AD10" s="25"/>
      <c r="AE10" s="25"/>
      <c r="AF10" s="25"/>
      <c r="AG10" s="25"/>
      <c r="AH10" s="25"/>
      <c r="AI10" s="31"/>
      <c r="AJ10" s="31"/>
      <c r="AK10" s="25"/>
      <c r="AL10" s="26"/>
      <c r="AN10" s="25"/>
      <c r="AO10" s="25"/>
      <c r="AP10" s="25"/>
      <c r="AQ10" s="25"/>
      <c r="AR10" s="25"/>
      <c r="AS10" s="25"/>
      <c r="BI10" s="305" t="s">
        <v>48</v>
      </c>
      <c r="BJ10" s="305"/>
      <c r="BK10" s="305"/>
      <c r="BL10" s="305"/>
      <c r="BM10" s="305"/>
      <c r="BN10" s="305"/>
      <c r="BO10" s="305"/>
      <c r="BP10" s="305"/>
      <c r="BQ10" s="305"/>
      <c r="BR10" s="305"/>
    </row>
    <row r="11" spans="1:86" ht="15" customHeight="1" x14ac:dyDescent="0.2">
      <c r="A11" s="32"/>
      <c r="B11" s="32"/>
      <c r="C11" s="33"/>
      <c r="D11" s="34"/>
      <c r="E11" s="34"/>
      <c r="F11" s="306" t="s">
        <v>49</v>
      </c>
      <c r="G11" s="306"/>
      <c r="H11" s="306"/>
      <c r="I11" s="306"/>
      <c r="J11" s="306"/>
      <c r="K11" s="306"/>
      <c r="L11" s="306"/>
      <c r="M11" s="306"/>
      <c r="N11" s="306"/>
      <c r="O11" s="307"/>
      <c r="P11" s="308" t="s">
        <v>50</v>
      </c>
      <c r="Q11" s="306"/>
      <c r="R11" s="306"/>
      <c r="S11" s="306"/>
      <c r="T11" s="306"/>
      <c r="U11" s="306"/>
      <c r="V11" s="306"/>
      <c r="W11" s="306"/>
      <c r="X11" s="306"/>
      <c r="Y11" s="306"/>
      <c r="Z11" s="306"/>
      <c r="AA11" s="306"/>
      <c r="AB11" s="307"/>
      <c r="AC11" s="32"/>
      <c r="AD11" s="34"/>
      <c r="AE11" s="34"/>
      <c r="AF11" s="34"/>
      <c r="AG11" s="34"/>
      <c r="AH11" s="34"/>
      <c r="AI11" s="35"/>
      <c r="AJ11" s="35"/>
      <c r="AK11" s="34"/>
      <c r="AL11" s="308" t="s">
        <v>51</v>
      </c>
      <c r="AM11" s="306"/>
      <c r="AN11" s="306"/>
      <c r="AO11" s="306"/>
      <c r="AP11" s="307"/>
      <c r="AQ11" s="309" t="s">
        <v>52</v>
      </c>
      <c r="AR11" s="309"/>
      <c r="AS11" s="310"/>
      <c r="AT11" s="36"/>
      <c r="AU11" s="36"/>
      <c r="AV11" s="36"/>
      <c r="AW11" s="36"/>
      <c r="AX11" s="36"/>
      <c r="AY11" s="37"/>
      <c r="AZ11" s="36"/>
      <c r="BA11" s="36"/>
      <c r="BB11" s="36"/>
      <c r="BC11" s="36"/>
      <c r="BD11" s="36"/>
      <c r="BE11" s="36"/>
      <c r="BF11" s="36"/>
      <c r="BG11" s="36"/>
      <c r="BH11" s="38"/>
      <c r="BI11" s="311" t="s">
        <v>53</v>
      </c>
      <c r="BJ11" s="309"/>
      <c r="BK11" s="309"/>
      <c r="BL11" s="309"/>
      <c r="BM11" s="309"/>
      <c r="BN11" s="309"/>
      <c r="BO11" s="309"/>
      <c r="BP11" s="309"/>
      <c r="BQ11" s="309"/>
      <c r="BR11" s="309"/>
      <c r="BS11" s="36"/>
      <c r="BT11" s="39"/>
      <c r="BU11" s="36"/>
      <c r="BV11" s="40"/>
      <c r="BW11" s="36"/>
      <c r="BX11" s="36"/>
      <c r="BY11" s="37"/>
      <c r="BZ11" s="36"/>
      <c r="CA11" s="36"/>
      <c r="CB11" s="36"/>
      <c r="CC11" s="36"/>
      <c r="CD11" s="36"/>
      <c r="CE11" s="36"/>
      <c r="CF11" s="36"/>
      <c r="CG11" s="36"/>
      <c r="CH11" s="38"/>
    </row>
    <row r="12" spans="1:86" x14ac:dyDescent="0.2">
      <c r="A12" s="41"/>
      <c r="B12" s="41"/>
      <c r="C12" s="42"/>
      <c r="D12" s="43"/>
      <c r="E12" s="43"/>
      <c r="F12" s="43"/>
      <c r="G12" s="43"/>
      <c r="H12" s="43"/>
      <c r="I12" s="43"/>
      <c r="J12" s="23"/>
      <c r="K12" s="23"/>
      <c r="L12" s="23"/>
      <c r="M12" s="43"/>
      <c r="N12" s="43"/>
      <c r="O12" s="44"/>
      <c r="P12" s="45"/>
      <c r="Y12" s="46"/>
      <c r="AB12" s="46"/>
      <c r="AC12" s="313" t="s">
        <v>54</v>
      </c>
      <c r="AD12" s="305"/>
      <c r="AE12" s="305"/>
      <c r="AF12" s="305"/>
      <c r="AG12" s="305"/>
      <c r="AH12" s="305"/>
      <c r="AI12" s="305"/>
      <c r="AJ12" s="305"/>
      <c r="AK12" s="305"/>
      <c r="AL12" s="47"/>
      <c r="AN12" s="305"/>
      <c r="AO12" s="305"/>
      <c r="AP12" s="42"/>
      <c r="AQ12" s="43"/>
      <c r="AR12" s="43"/>
      <c r="AS12" s="42"/>
      <c r="AT12" s="314" t="s">
        <v>55</v>
      </c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6"/>
      <c r="BT12" s="317" t="s">
        <v>56</v>
      </c>
      <c r="BU12" s="318"/>
      <c r="BV12" s="318"/>
      <c r="BW12" s="318"/>
      <c r="BX12" s="318"/>
      <c r="BY12" s="318"/>
      <c r="BZ12" s="318"/>
      <c r="CA12" s="318"/>
      <c r="CB12" s="318"/>
      <c r="CC12" s="318"/>
      <c r="CD12" s="318"/>
      <c r="CE12" s="318"/>
      <c r="CF12" s="318"/>
      <c r="CG12" s="318"/>
      <c r="CH12" s="319"/>
    </row>
    <row r="13" spans="1:86" x14ac:dyDescent="0.2">
      <c r="A13" s="41"/>
      <c r="B13" s="41"/>
      <c r="C13" s="42"/>
      <c r="D13" s="42"/>
      <c r="E13" s="42" t="s">
        <v>57</v>
      </c>
      <c r="F13" s="42" t="s">
        <v>58</v>
      </c>
      <c r="G13" s="320" t="s">
        <v>59</v>
      </c>
      <c r="H13" s="321"/>
      <c r="I13" s="322" t="s">
        <v>60</v>
      </c>
      <c r="J13" s="323"/>
      <c r="K13" s="48"/>
      <c r="L13" s="42"/>
      <c r="M13" s="49"/>
      <c r="N13" s="49"/>
      <c r="O13" s="49"/>
      <c r="P13" s="324" t="s">
        <v>61</v>
      </c>
      <c r="Q13" s="325"/>
      <c r="R13" s="324" t="s">
        <v>62</v>
      </c>
      <c r="S13" s="325"/>
      <c r="T13" s="325"/>
      <c r="U13" s="324" t="s">
        <v>63</v>
      </c>
      <c r="V13" s="325"/>
      <c r="W13" s="325"/>
      <c r="X13" s="325"/>
      <c r="Y13" s="325"/>
      <c r="Z13" s="325"/>
      <c r="AA13" s="325"/>
      <c r="AB13" s="326"/>
      <c r="AC13" s="41"/>
      <c r="AD13" s="43"/>
      <c r="AE13" s="43"/>
      <c r="AF13" s="43"/>
      <c r="AG13" s="43"/>
      <c r="AH13" s="43"/>
      <c r="AI13" s="50"/>
      <c r="AJ13" s="50"/>
      <c r="AK13" s="43"/>
      <c r="AL13" s="283" t="s">
        <v>64</v>
      </c>
      <c r="AM13" s="51" t="s">
        <v>65</v>
      </c>
      <c r="AN13" s="321"/>
      <c r="AO13" s="320"/>
      <c r="AP13" s="42"/>
      <c r="AQ13" s="43"/>
      <c r="AR13" s="52"/>
      <c r="AS13" s="42"/>
      <c r="AT13" s="314"/>
      <c r="AU13" s="315"/>
      <c r="AV13" s="315"/>
      <c r="AW13" s="315"/>
      <c r="AX13" s="315"/>
      <c r="AY13" s="315"/>
      <c r="AZ13" s="315"/>
      <c r="BA13" s="315"/>
      <c r="BB13" s="315"/>
      <c r="BC13" s="315"/>
      <c r="BD13" s="315"/>
      <c r="BE13" s="315"/>
      <c r="BF13" s="315"/>
      <c r="BG13" s="315"/>
      <c r="BH13" s="316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317"/>
      <c r="BU13" s="318"/>
      <c r="BV13" s="318"/>
      <c r="BW13" s="318"/>
      <c r="BX13" s="318"/>
      <c r="BY13" s="318"/>
      <c r="BZ13" s="318"/>
      <c r="CA13" s="318"/>
      <c r="CB13" s="318"/>
      <c r="CC13" s="318"/>
      <c r="CD13" s="318"/>
      <c r="CE13" s="318"/>
      <c r="CF13" s="318"/>
      <c r="CG13" s="318"/>
      <c r="CH13" s="319"/>
    </row>
    <row r="14" spans="1:86" x14ac:dyDescent="0.2">
      <c r="A14" s="54" t="s">
        <v>66</v>
      </c>
      <c r="B14" s="327" t="s">
        <v>67</v>
      </c>
      <c r="C14" s="328"/>
      <c r="D14" s="55" t="s">
        <v>68</v>
      </c>
      <c r="E14" s="42" t="s">
        <v>69</v>
      </c>
      <c r="F14" s="42" t="s">
        <v>69</v>
      </c>
      <c r="G14" s="56" t="s">
        <v>70</v>
      </c>
      <c r="H14" s="57" t="s">
        <v>70</v>
      </c>
      <c r="I14" s="48" t="s">
        <v>70</v>
      </c>
      <c r="J14" s="58" t="s">
        <v>70</v>
      </c>
      <c r="K14" s="59" t="s">
        <v>71</v>
      </c>
      <c r="L14" s="60" t="s">
        <v>71</v>
      </c>
      <c r="M14" s="49" t="s">
        <v>72</v>
      </c>
      <c r="N14" s="49" t="s">
        <v>73</v>
      </c>
      <c r="O14" s="61" t="s">
        <v>74</v>
      </c>
      <c r="P14" s="47"/>
      <c r="Q14" s="62"/>
      <c r="R14" s="41"/>
      <c r="S14" s="23"/>
      <c r="T14" s="62"/>
      <c r="U14" s="47"/>
      <c r="V14" s="62"/>
      <c r="W14" s="23"/>
      <c r="X14" s="63"/>
      <c r="Y14" s="60"/>
      <c r="Z14" s="63"/>
      <c r="AA14" s="63"/>
      <c r="AB14" s="60"/>
      <c r="AC14" s="41"/>
      <c r="AD14" s="64" t="s">
        <v>75</v>
      </c>
      <c r="AE14" s="52" t="s">
        <v>76</v>
      </c>
      <c r="AF14" s="52"/>
      <c r="AG14" s="64" t="s">
        <v>77</v>
      </c>
      <c r="AH14" s="64" t="s">
        <v>78</v>
      </c>
      <c r="AI14" s="65" t="s">
        <v>75</v>
      </c>
      <c r="AJ14" s="65" t="s">
        <v>79</v>
      </c>
      <c r="AK14" s="43"/>
      <c r="AL14" s="283" t="s">
        <v>80</v>
      </c>
      <c r="AM14" s="51" t="s">
        <v>81</v>
      </c>
      <c r="AN14" s="57"/>
      <c r="AO14" s="56"/>
      <c r="AP14" s="42"/>
      <c r="AQ14" s="43"/>
      <c r="AR14" s="52" t="s">
        <v>82</v>
      </c>
      <c r="AS14" s="42"/>
      <c r="AT14" s="314"/>
      <c r="AU14" s="315"/>
      <c r="AV14" s="315"/>
      <c r="AW14" s="315"/>
      <c r="AX14" s="315"/>
      <c r="AY14" s="315"/>
      <c r="AZ14" s="315"/>
      <c r="BA14" s="315"/>
      <c r="BB14" s="315"/>
      <c r="BC14" s="315"/>
      <c r="BD14" s="315"/>
      <c r="BE14" s="315"/>
      <c r="BF14" s="315"/>
      <c r="BG14" s="315"/>
      <c r="BH14" s="316"/>
      <c r="BI14" s="53" t="s">
        <v>76</v>
      </c>
      <c r="BM14" s="53" t="s">
        <v>77</v>
      </c>
      <c r="BN14" s="53" t="s">
        <v>83</v>
      </c>
      <c r="BO14" s="53" t="s">
        <v>75</v>
      </c>
      <c r="BP14" s="53"/>
      <c r="BQ14" s="53" t="s">
        <v>84</v>
      </c>
      <c r="BR14" s="53" t="s">
        <v>65</v>
      </c>
      <c r="BS14" s="53"/>
      <c r="BT14" s="317"/>
      <c r="BU14" s="318"/>
      <c r="BV14" s="318"/>
      <c r="BW14" s="318"/>
      <c r="BX14" s="318"/>
      <c r="BY14" s="318"/>
      <c r="BZ14" s="318"/>
      <c r="CA14" s="318"/>
      <c r="CB14" s="318"/>
      <c r="CC14" s="318"/>
      <c r="CD14" s="318"/>
      <c r="CE14" s="318"/>
      <c r="CF14" s="318"/>
      <c r="CG14" s="318"/>
      <c r="CH14" s="319"/>
    </row>
    <row r="15" spans="1:86" x14ac:dyDescent="0.2">
      <c r="A15" s="54"/>
      <c r="B15" s="327" t="s">
        <v>85</v>
      </c>
      <c r="C15" s="328"/>
      <c r="D15" s="55"/>
      <c r="E15" s="55" t="s">
        <v>45</v>
      </c>
      <c r="F15" s="55" t="s">
        <v>45</v>
      </c>
      <c r="G15" s="66" t="s">
        <v>86</v>
      </c>
      <c r="H15" s="67" t="s">
        <v>87</v>
      </c>
      <c r="I15" s="68" t="s">
        <v>86</v>
      </c>
      <c r="J15" s="69" t="s">
        <v>87</v>
      </c>
      <c r="K15" s="70" t="s">
        <v>88</v>
      </c>
      <c r="L15" s="71" t="s">
        <v>89</v>
      </c>
      <c r="M15" s="72" t="s">
        <v>90</v>
      </c>
      <c r="N15" s="72" t="s">
        <v>90</v>
      </c>
      <c r="O15" s="72" t="s">
        <v>91</v>
      </c>
      <c r="P15" s="73" t="s">
        <v>92</v>
      </c>
      <c r="Q15" s="74" t="s">
        <v>93</v>
      </c>
      <c r="R15" s="54" t="s">
        <v>94</v>
      </c>
      <c r="S15" s="75" t="s">
        <v>92</v>
      </c>
      <c r="T15" s="76" t="s">
        <v>93</v>
      </c>
      <c r="U15" s="73" t="s">
        <v>95</v>
      </c>
      <c r="V15" s="77" t="s">
        <v>93</v>
      </c>
      <c r="W15" s="75" t="s">
        <v>96</v>
      </c>
      <c r="X15" s="78" t="s">
        <v>97</v>
      </c>
      <c r="Y15" s="71" t="s">
        <v>98</v>
      </c>
      <c r="Z15" s="79" t="s">
        <v>34</v>
      </c>
      <c r="AA15" s="79" t="s">
        <v>99</v>
      </c>
      <c r="AB15" s="71" t="s">
        <v>98</v>
      </c>
      <c r="AC15" s="41" t="s">
        <v>22</v>
      </c>
      <c r="AD15" s="64" t="s">
        <v>100</v>
      </c>
      <c r="AE15" s="64" t="s">
        <v>101</v>
      </c>
      <c r="AF15" s="52" t="s">
        <v>102</v>
      </c>
      <c r="AG15" s="64" t="s">
        <v>101</v>
      </c>
      <c r="AH15" s="64" t="s">
        <v>103</v>
      </c>
      <c r="AI15" s="65" t="s">
        <v>104</v>
      </c>
      <c r="AJ15" s="65" t="s">
        <v>105</v>
      </c>
      <c r="AK15" s="53" t="s">
        <v>106</v>
      </c>
      <c r="AL15" s="284" t="s">
        <v>107</v>
      </c>
      <c r="AM15" s="51" t="s">
        <v>108</v>
      </c>
      <c r="AN15" s="52" t="s">
        <v>109</v>
      </c>
      <c r="AO15" s="52" t="s">
        <v>110</v>
      </c>
      <c r="AP15" s="42" t="s">
        <v>111</v>
      </c>
      <c r="AQ15" s="43" t="s">
        <v>110</v>
      </c>
      <c r="AR15" s="52" t="s">
        <v>112</v>
      </c>
      <c r="AS15" s="42" t="s">
        <v>111</v>
      </c>
      <c r="AT15" s="53" t="s">
        <v>81</v>
      </c>
      <c r="AU15" s="53" t="s">
        <v>22</v>
      </c>
      <c r="AV15" s="53" t="s">
        <v>113</v>
      </c>
      <c r="AW15" s="53" t="s">
        <v>114</v>
      </c>
      <c r="AX15" s="53" t="s">
        <v>115</v>
      </c>
      <c r="AY15" s="53" t="s">
        <v>116</v>
      </c>
      <c r="AZ15" s="53" t="s">
        <v>117</v>
      </c>
      <c r="BA15" s="53" t="s">
        <v>118</v>
      </c>
      <c r="BB15" s="53" t="s">
        <v>119</v>
      </c>
      <c r="BC15" s="53" t="s">
        <v>103</v>
      </c>
      <c r="BD15" s="53" t="s">
        <v>104</v>
      </c>
      <c r="BE15" s="53" t="s">
        <v>120</v>
      </c>
      <c r="BF15" s="53" t="s">
        <v>115</v>
      </c>
      <c r="BG15" s="53" t="s">
        <v>81</v>
      </c>
      <c r="BH15" s="55" t="s">
        <v>121</v>
      </c>
      <c r="BI15" s="53" t="s">
        <v>122</v>
      </c>
      <c r="BJ15" s="53" t="s">
        <v>116</v>
      </c>
      <c r="BK15" s="53" t="s">
        <v>117</v>
      </c>
      <c r="BL15" s="53" t="s">
        <v>118</v>
      </c>
      <c r="BM15" s="53" t="s">
        <v>122</v>
      </c>
      <c r="BN15" s="53" t="s">
        <v>103</v>
      </c>
      <c r="BO15" s="53" t="s">
        <v>104</v>
      </c>
      <c r="BP15" s="53" t="s">
        <v>120</v>
      </c>
      <c r="BQ15" s="53" t="s">
        <v>122</v>
      </c>
      <c r="BR15" s="53" t="s">
        <v>122</v>
      </c>
      <c r="BS15" s="53"/>
      <c r="BT15" s="54" t="s">
        <v>123</v>
      </c>
      <c r="BU15" s="53" t="s">
        <v>22</v>
      </c>
      <c r="BV15" s="80" t="s">
        <v>113</v>
      </c>
      <c r="BW15" s="53" t="s">
        <v>114</v>
      </c>
      <c r="BX15" s="53" t="s">
        <v>124</v>
      </c>
      <c r="BY15" s="53" t="s">
        <v>116</v>
      </c>
      <c r="BZ15" s="53" t="s">
        <v>117</v>
      </c>
      <c r="CA15" s="53" t="s">
        <v>118</v>
      </c>
      <c r="CB15" s="53" t="s">
        <v>119</v>
      </c>
      <c r="CC15" s="53" t="s">
        <v>103</v>
      </c>
      <c r="CD15" s="53" t="s">
        <v>104</v>
      </c>
      <c r="CE15" s="53" t="s">
        <v>120</v>
      </c>
      <c r="CF15" s="53" t="s">
        <v>124</v>
      </c>
      <c r="CG15" s="53" t="s">
        <v>124</v>
      </c>
      <c r="CH15" s="55" t="s">
        <v>121</v>
      </c>
    </row>
    <row r="16" spans="1:86" ht="12.75" customHeight="1" x14ac:dyDescent="0.2">
      <c r="A16" s="81"/>
      <c r="B16" s="81"/>
      <c r="C16" s="82"/>
      <c r="D16" s="82"/>
      <c r="E16" s="82"/>
      <c r="F16" s="82"/>
      <c r="G16" s="83"/>
      <c r="H16" s="84"/>
      <c r="I16" s="85"/>
      <c r="J16" s="86"/>
      <c r="K16" s="85"/>
      <c r="L16" s="82"/>
      <c r="M16" s="87"/>
      <c r="N16" s="87"/>
      <c r="O16" s="88"/>
      <c r="P16" s="89" t="s">
        <v>43</v>
      </c>
      <c r="Q16" s="90" t="s">
        <v>125</v>
      </c>
      <c r="R16" s="91"/>
      <c r="S16" s="92" t="s">
        <v>43</v>
      </c>
      <c r="T16" s="93" t="s">
        <v>125</v>
      </c>
      <c r="U16" s="89" t="s">
        <v>43</v>
      </c>
      <c r="V16" s="94" t="s">
        <v>125</v>
      </c>
      <c r="W16" s="92" t="s">
        <v>43</v>
      </c>
      <c r="X16" s="95"/>
      <c r="Y16" s="96" t="s">
        <v>43</v>
      </c>
      <c r="Z16" s="97" t="s">
        <v>126</v>
      </c>
      <c r="AA16" s="97" t="s">
        <v>34</v>
      </c>
      <c r="AB16" s="96" t="s">
        <v>43</v>
      </c>
      <c r="AC16" s="91" t="s">
        <v>127</v>
      </c>
      <c r="AD16" s="98" t="s">
        <v>127</v>
      </c>
      <c r="AE16" s="98" t="s">
        <v>127</v>
      </c>
      <c r="AF16" s="98" t="s">
        <v>128</v>
      </c>
      <c r="AG16" s="98" t="s">
        <v>129</v>
      </c>
      <c r="AH16" s="98" t="s">
        <v>127</v>
      </c>
      <c r="AI16" s="99"/>
      <c r="AJ16" s="99"/>
      <c r="AK16" s="100"/>
      <c r="AL16" s="285" t="s">
        <v>43</v>
      </c>
      <c r="AM16" s="101" t="s">
        <v>43</v>
      </c>
      <c r="AN16" s="102"/>
      <c r="AO16" s="102" t="s">
        <v>44</v>
      </c>
      <c r="AP16" s="82"/>
      <c r="AQ16" s="100" t="s">
        <v>44</v>
      </c>
      <c r="AR16" s="102" t="s">
        <v>44</v>
      </c>
      <c r="AS16" s="82"/>
      <c r="AT16" s="103" t="s">
        <v>43</v>
      </c>
      <c r="AU16" s="103" t="s">
        <v>45</v>
      </c>
      <c r="AV16" s="103" t="s">
        <v>130</v>
      </c>
      <c r="AW16" s="103" t="s">
        <v>131</v>
      </c>
      <c r="AX16" s="103" t="s">
        <v>90</v>
      </c>
      <c r="AY16" s="103" t="s">
        <v>81</v>
      </c>
      <c r="AZ16" s="103" t="s">
        <v>132</v>
      </c>
      <c r="BA16" s="103" t="s">
        <v>133</v>
      </c>
      <c r="BB16" s="103" t="s">
        <v>134</v>
      </c>
      <c r="BC16" s="103" t="s">
        <v>90</v>
      </c>
      <c r="BD16" s="103" t="s">
        <v>90</v>
      </c>
      <c r="BE16" s="103" t="s">
        <v>38</v>
      </c>
      <c r="BF16" s="103" t="s">
        <v>44</v>
      </c>
      <c r="BG16" s="103" t="s">
        <v>43</v>
      </c>
      <c r="BH16" s="104" t="s">
        <v>135</v>
      </c>
      <c r="BI16" s="103" t="s">
        <v>90</v>
      </c>
      <c r="BJ16" s="103" t="s">
        <v>122</v>
      </c>
      <c r="BK16" s="103" t="s">
        <v>132</v>
      </c>
      <c r="BL16" s="103" t="s">
        <v>133</v>
      </c>
      <c r="BM16" s="103" t="s">
        <v>134</v>
      </c>
      <c r="BN16" s="103" t="s">
        <v>90</v>
      </c>
      <c r="BO16" s="103" t="s">
        <v>90</v>
      </c>
      <c r="BP16" s="103" t="s">
        <v>38</v>
      </c>
      <c r="BQ16" s="103" t="s">
        <v>44</v>
      </c>
      <c r="BR16" s="103" t="s">
        <v>43</v>
      </c>
      <c r="BS16" s="103"/>
      <c r="BT16" s="91" t="s">
        <v>43</v>
      </c>
      <c r="BU16" s="103" t="s">
        <v>45</v>
      </c>
      <c r="BV16" s="105" t="s">
        <v>130</v>
      </c>
      <c r="BW16" s="103" t="s">
        <v>131</v>
      </c>
      <c r="BX16" s="103" t="s">
        <v>90</v>
      </c>
      <c r="BY16" s="103" t="s">
        <v>123</v>
      </c>
      <c r="BZ16" s="103" t="s">
        <v>132</v>
      </c>
      <c r="CA16" s="103" t="s">
        <v>133</v>
      </c>
      <c r="CB16" s="103" t="s">
        <v>134</v>
      </c>
      <c r="CC16" s="103" t="s">
        <v>90</v>
      </c>
      <c r="CD16" s="103" t="s">
        <v>90</v>
      </c>
      <c r="CE16" s="103" t="s">
        <v>38</v>
      </c>
      <c r="CF16" s="103" t="s">
        <v>44</v>
      </c>
      <c r="CG16" s="103" t="s">
        <v>43</v>
      </c>
      <c r="CH16" s="104" t="s">
        <v>136</v>
      </c>
    </row>
    <row r="17" spans="1:88" ht="15" customHeight="1" x14ac:dyDescent="0.2">
      <c r="A17" s="106" t="s">
        <v>137</v>
      </c>
      <c r="B17" s="107"/>
      <c r="C17" s="107"/>
      <c r="D17" s="108" t="s">
        <v>27</v>
      </c>
      <c r="E17" s="107">
        <v>900</v>
      </c>
      <c r="F17" s="109">
        <f>+'Conducciones de Disposición'!L19</f>
        <v>858.01686336503826</v>
      </c>
      <c r="G17" s="110"/>
      <c r="H17" s="110"/>
      <c r="I17" s="110">
        <v>10.27</v>
      </c>
      <c r="J17" s="110">
        <v>7.26</v>
      </c>
      <c r="K17" s="111">
        <f>+G17-I17</f>
        <v>-10.27</v>
      </c>
      <c r="L17" s="111">
        <f>+H17-J17</f>
        <v>-7.26</v>
      </c>
      <c r="M17" s="112">
        <f>+'[4]Conducciones de Disposición'!L17</f>
        <v>2543.5729999999999</v>
      </c>
      <c r="N17" s="112">
        <f>+M17</f>
        <v>2543.5729999999999</v>
      </c>
      <c r="O17" s="113">
        <f>+'[4]Conducciones de Disposición'!L20</f>
        <v>2.2947252152778789E-3</v>
      </c>
      <c r="P17" s="114">
        <f>+'[1]Tabla 11-a Dda AS Tot'!$I$29</f>
        <v>354.86174801184586</v>
      </c>
      <c r="Q17" s="115">
        <f>+'[1]Tabla 11-a Dda AS Tot'!$E$29</f>
        <v>165422.13935191286</v>
      </c>
      <c r="R17" s="116"/>
      <c r="S17" s="117"/>
      <c r="T17" s="112"/>
      <c r="U17" s="118">
        <f>+P17</f>
        <v>354.86174801184586</v>
      </c>
      <c r="V17" s="119">
        <f>+Q17+T17</f>
        <v>165422.13935191286</v>
      </c>
      <c r="W17" s="118">
        <f>MAX(3.6,U17*0.4)</f>
        <v>141.94469920473836</v>
      </c>
      <c r="X17" s="120">
        <f>IF(V17&gt;=1000,1+14/(4+SQRT((V17)/1000))," ")</f>
        <v>1.8302862896857732</v>
      </c>
      <c r="Y17" s="118">
        <f>+U17*X17</f>
        <v>649.49859212000922</v>
      </c>
      <c r="Z17" s="120">
        <f>+IF(U17&lt;=0,0,U17*$Z$10)</f>
        <v>70.972349602369178</v>
      </c>
      <c r="AA17" s="120"/>
      <c r="AB17" s="121">
        <f>SUM(Y17:AA17)</f>
        <v>720.47094172237837</v>
      </c>
      <c r="AC17" s="122">
        <f>F17/1000</f>
        <v>0.85801686336503824</v>
      </c>
      <c r="AD17" s="123">
        <f>F17/2000</f>
        <v>0.42900843168251912</v>
      </c>
      <c r="AE17" s="123">
        <f>F$26*(AD17*2)</f>
        <v>0.60061180435552675</v>
      </c>
      <c r="AF17" s="122">
        <f>2*ACOS((AD17-AE17)/AD17)</f>
        <v>3.9646263457247688</v>
      </c>
      <c r="AG17" s="124">
        <f>PI()*AD17^2*AF17/(2*PI())-AD17*COS(PI()/2-AF17/2)*(AD17-AE17)</f>
        <v>0.43231443687453525</v>
      </c>
      <c r="AH17" s="124">
        <f>AF17/(2*PI())*2*PI()*AD17</f>
        <v>1.70085813078658</v>
      </c>
      <c r="AI17" s="125">
        <f>AG17/AH17</f>
        <v>0.25417430710379518</v>
      </c>
      <c r="AJ17" s="125">
        <f>(25+1/$F$25)/(1+25*$F$25/SQRT(AI17))</f>
        <v>86.200860776176995</v>
      </c>
      <c r="AK17" s="122">
        <f>AJ17*SQRT(AI17*O17)</f>
        <v>2.0818180547165097</v>
      </c>
      <c r="AL17" s="287">
        <f>AK17*AG17*1000</f>
        <v>900.0000000000083</v>
      </c>
      <c r="AM17" s="126">
        <f>+AB17</f>
        <v>720.47094172237837</v>
      </c>
      <c r="AN17" s="122">
        <f>IF(AM17="-","-",AY17)</f>
        <v>0.59900461842036812</v>
      </c>
      <c r="AO17" s="122">
        <f>IF(AM17="-","-",BF17)</f>
        <v>1.9929505713851094</v>
      </c>
      <c r="AP17" s="127" t="str">
        <f>IF(AM17="-","-",IF(AN17&gt;F$26,"NO","SI"))</f>
        <v>SI</v>
      </c>
      <c r="AQ17" s="122">
        <f>+CF17</f>
        <v>1.2782265411420548</v>
      </c>
      <c r="AR17" s="122">
        <f>0.24*BY17+0.37</f>
        <v>0.42924876212318591</v>
      </c>
      <c r="AS17" s="127" t="str">
        <f>IF(AQ17&gt;AR17,"SI","NO")</f>
        <v>SI</v>
      </c>
      <c r="AT17" s="128">
        <f>$AM17</f>
        <v>720.47094172237837</v>
      </c>
      <c r="AU17" s="129">
        <f>$F17</f>
        <v>858.01686336503826</v>
      </c>
      <c r="AV17" s="130">
        <f>$O17</f>
        <v>2.2947252152778789E-3</v>
      </c>
      <c r="AW17" s="131">
        <f>$F$25</f>
        <v>9.7288632583600616E-3</v>
      </c>
      <c r="AX17" s="132">
        <f>AY17*$AU17/1000</f>
        <v>0.5139560638382159</v>
      </c>
      <c r="AY17" s="133">
        <v>0.59900461842036812</v>
      </c>
      <c r="AZ17" s="134">
        <f>180-2*BA17*180/PI()</f>
        <v>202.84113741744403</v>
      </c>
      <c r="BA17" s="135">
        <f>ASIN(($AU17/2000-AX17)/($AU17/2000))</f>
        <v>-0.19932652641743642</v>
      </c>
      <c r="BB17" s="136">
        <f>PI()*($AU17/1000)^2/4*AZ17/360-$AU17/2000*COS(BA17)*($AU17/2000-AX17)</f>
        <v>0.36150966560548664</v>
      </c>
      <c r="BC17" s="135">
        <f>PI()*$AU17/1000*AZ17/360</f>
        <v>1.5187952582840178</v>
      </c>
      <c r="BD17" s="137">
        <f>BB17/BC17</f>
        <v>0.23802396250165511</v>
      </c>
      <c r="BE17" s="138">
        <f>((25+1/$AW17)/(1+(25*$AW17)/SQRT(BD17)))</f>
        <v>85.274826259016805</v>
      </c>
      <c r="BF17" s="139">
        <f>BE17*SQRT(BD17*$AV17)</f>
        <v>1.9929505713851094</v>
      </c>
      <c r="BG17" s="134">
        <f>BF17*BB17*1000</f>
        <v>720.4708946296945</v>
      </c>
      <c r="BH17" s="137">
        <f>AT17-BG17</f>
        <v>4.7092683871596819E-5</v>
      </c>
      <c r="BI17" s="140">
        <f>BJ17*$AU17/1000</f>
        <v>0.60061180435552675</v>
      </c>
      <c r="BJ17" s="139">
        <f>F$26</f>
        <v>0.7</v>
      </c>
      <c r="BK17" s="141">
        <f>180-2*BL17*180/PI()</f>
        <v>227.15635695640367</v>
      </c>
      <c r="BL17" s="139">
        <f>ASIN(($AU17/2000-BI17)/($AU17/2000))</f>
        <v>-0.41151684606748795</v>
      </c>
      <c r="BM17" s="142">
        <f>PI()*($AU17/1000)^2/4*BK17/360-$AU17/2000*COS(BL17)*($AU17/2000-BI17)</f>
        <v>0.43231443687453519</v>
      </c>
      <c r="BN17" s="139">
        <f>PI()*$AU17/1000*BK17/360</f>
        <v>1.70085813078658</v>
      </c>
      <c r="BO17" s="143">
        <f>BM17/BN17</f>
        <v>0.25417430710379518</v>
      </c>
      <c r="BP17" s="138">
        <f>((25+1/$AW17)/(1+(25*$AW17)/SQRT(BO17)))</f>
        <v>86.200860776176995</v>
      </c>
      <c r="BQ17" s="139">
        <f>BP17*SQRT(BO17*$AV17)</f>
        <v>2.0818180547165097</v>
      </c>
      <c r="BR17" s="134">
        <f>BQ17*BM17*1000</f>
        <v>900.00000000000819</v>
      </c>
      <c r="BS17" s="144"/>
      <c r="BT17" s="145">
        <f>+W17</f>
        <v>141.94469920473836</v>
      </c>
      <c r="BU17" s="146">
        <f>$F17</f>
        <v>858.01686336503826</v>
      </c>
      <c r="BV17" s="147">
        <f>$O17</f>
        <v>2.2947252152778789E-3</v>
      </c>
      <c r="BW17" s="142">
        <f>$F$25</f>
        <v>9.7288632583600616E-3</v>
      </c>
      <c r="BX17" s="148">
        <f>BY17*$AU17/1000</f>
        <v>0.21181848764665528</v>
      </c>
      <c r="BY17" s="149">
        <v>0.24686984217994135</v>
      </c>
      <c r="BZ17" s="134">
        <f>180-2*CA17*180/PI()</f>
        <v>119.16989857247275</v>
      </c>
      <c r="CA17" s="135">
        <f>ASIN(($AU17/2000-BX17)/($AU17/2000))</f>
        <v>0.53084277711622674</v>
      </c>
      <c r="CB17" s="136">
        <f>PI()*($AU17/1000)^2/4*BZ17/360-$AU17/2000*COS(CA17)*($AU17/2000-BX17)</f>
        <v>0.11104815588566246</v>
      </c>
      <c r="CC17" s="135">
        <f>PI()*$AU17/1000*BZ17/360</f>
        <v>0.89229768274062971</v>
      </c>
      <c r="CD17" s="137">
        <f>CB17/CC17</f>
        <v>0.12445191558111621</v>
      </c>
      <c r="CE17" s="138">
        <f>((25+1/$AW17)/(1+(25*$AW17)/SQRT(CD17)))</f>
        <v>75.638288658523607</v>
      </c>
      <c r="CF17" s="139">
        <f>CE17*SQRT(CD17*$AV17)</f>
        <v>1.2782265411420548</v>
      </c>
      <c r="CG17" s="141">
        <f>CF17*CB17*1000</f>
        <v>141.94470019793403</v>
      </c>
      <c r="CH17" s="143">
        <f>BT17-CG17</f>
        <v>-9.9319566970734741E-7</v>
      </c>
      <c r="CI17" s="21"/>
      <c r="CJ17" s="21"/>
    </row>
    <row r="18" spans="1:88" ht="15" customHeight="1" x14ac:dyDescent="0.2">
      <c r="A18" s="150"/>
      <c r="B18" s="107"/>
      <c r="C18" s="107"/>
      <c r="D18" s="108"/>
      <c r="E18" s="107"/>
      <c r="F18" s="109"/>
      <c r="G18" s="110"/>
      <c r="H18" s="110"/>
      <c r="I18" s="110"/>
      <c r="J18" s="110"/>
      <c r="K18" s="111"/>
      <c r="L18" s="111"/>
      <c r="M18" s="112"/>
      <c r="N18" s="112"/>
      <c r="O18" s="113"/>
      <c r="P18" s="114"/>
      <c r="Q18" s="115"/>
      <c r="R18" s="116"/>
      <c r="S18" s="117"/>
      <c r="T18" s="112"/>
      <c r="U18" s="151"/>
      <c r="V18" s="152"/>
      <c r="W18" s="151"/>
      <c r="X18" s="153"/>
      <c r="Y18" s="151"/>
      <c r="Z18" s="153"/>
      <c r="AA18" s="153"/>
      <c r="AB18" s="151"/>
      <c r="AC18" s="122"/>
      <c r="AD18" s="123"/>
      <c r="AE18" s="123"/>
      <c r="AF18" s="122"/>
      <c r="AG18" s="124"/>
      <c r="AH18" s="124"/>
      <c r="AI18" s="125"/>
      <c r="AJ18" s="125"/>
      <c r="AK18" s="122"/>
      <c r="AL18" s="286"/>
      <c r="AM18" s="126"/>
      <c r="AN18" s="122"/>
      <c r="AO18" s="122"/>
      <c r="AP18" s="127"/>
      <c r="AQ18" s="122"/>
      <c r="AR18" s="122"/>
      <c r="AS18" s="127"/>
      <c r="AT18" s="154"/>
      <c r="AU18" s="155"/>
      <c r="AV18" s="130"/>
      <c r="AW18" s="131"/>
      <c r="AX18" s="156"/>
      <c r="AY18" s="149"/>
      <c r="AZ18" s="141"/>
      <c r="BA18" s="139"/>
      <c r="BB18" s="142"/>
      <c r="BC18" s="139"/>
      <c r="BD18" s="143"/>
      <c r="BE18" s="138"/>
      <c r="BF18" s="139"/>
      <c r="BG18" s="141"/>
      <c r="BH18" s="143"/>
      <c r="BI18" s="140"/>
      <c r="BJ18" s="139"/>
      <c r="BK18" s="141"/>
      <c r="BL18" s="139"/>
      <c r="BM18" s="142"/>
      <c r="BN18" s="139"/>
      <c r="BO18" s="143"/>
      <c r="BP18" s="138"/>
      <c r="BQ18" s="139"/>
      <c r="BR18" s="141"/>
      <c r="BS18" s="157"/>
      <c r="BT18" s="158"/>
      <c r="BU18" s="159"/>
      <c r="BV18" s="160"/>
      <c r="BW18" s="142"/>
      <c r="BX18" s="140"/>
      <c r="BY18" s="149"/>
      <c r="BZ18" s="141"/>
      <c r="CA18" s="139"/>
      <c r="CB18" s="142"/>
      <c r="CC18" s="139"/>
      <c r="CD18" s="143"/>
      <c r="CE18" s="138"/>
      <c r="CF18" s="139"/>
      <c r="CG18" s="141"/>
      <c r="CH18" s="143"/>
      <c r="CI18" s="21"/>
      <c r="CJ18" s="21"/>
    </row>
    <row r="19" spans="1:88" ht="15" customHeight="1" x14ac:dyDescent="0.2">
      <c r="A19" s="161"/>
      <c r="B19" s="24"/>
      <c r="C19" s="162"/>
      <c r="G19" s="22"/>
      <c r="H19" s="22"/>
      <c r="I19" s="22"/>
      <c r="J19" s="22"/>
      <c r="O19" s="18"/>
      <c r="P19" s="18"/>
      <c r="Q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I19" s="18"/>
      <c r="AJ19" s="18"/>
      <c r="AL19" s="18"/>
      <c r="AM19" s="18"/>
      <c r="BV19" s="18"/>
      <c r="CH19" s="163"/>
      <c r="CI19" s="21"/>
      <c r="CJ19" s="21"/>
    </row>
    <row r="20" spans="1:88" x14ac:dyDescent="0.2">
      <c r="B20" s="24"/>
      <c r="C20" s="162"/>
      <c r="D20" s="162"/>
      <c r="E20" s="162"/>
      <c r="F20" s="164"/>
      <c r="G20" s="165"/>
      <c r="H20" s="165"/>
      <c r="I20" s="165"/>
      <c r="J20" s="165"/>
      <c r="K20" s="23"/>
      <c r="L20" s="23"/>
      <c r="M20" s="166"/>
      <c r="N20" s="166"/>
      <c r="O20" s="167"/>
      <c r="P20" s="168"/>
      <c r="Q20" s="168"/>
      <c r="R20" s="24"/>
      <c r="S20" s="168"/>
      <c r="T20" s="169"/>
      <c r="U20" s="170"/>
      <c r="V20" s="76"/>
      <c r="W20" s="170"/>
      <c r="X20" s="63"/>
      <c r="Y20" s="170"/>
      <c r="Z20" s="63"/>
      <c r="AA20" s="63"/>
      <c r="AB20" s="170"/>
      <c r="AC20" s="171"/>
      <c r="AD20" s="53"/>
      <c r="AE20" s="53"/>
      <c r="AF20" s="171"/>
      <c r="AG20" s="172"/>
      <c r="AH20" s="172"/>
      <c r="AI20" s="173"/>
      <c r="AJ20" s="173"/>
      <c r="AK20" s="171"/>
      <c r="AL20" s="174"/>
      <c r="AN20" s="171"/>
      <c r="AO20" s="171"/>
      <c r="AP20" s="175"/>
      <c r="AQ20" s="171"/>
      <c r="AR20" s="171"/>
      <c r="AS20" s="175"/>
      <c r="AT20" s="176"/>
      <c r="AU20" s="177"/>
      <c r="AV20" s="178"/>
      <c r="AW20" s="179"/>
      <c r="AX20" s="180"/>
      <c r="AY20" s="181"/>
      <c r="AZ20" s="182"/>
      <c r="BA20" s="183"/>
      <c r="BB20" s="179"/>
      <c r="BC20" s="183"/>
      <c r="BD20" s="184"/>
      <c r="BE20" s="185"/>
      <c r="BF20" s="183"/>
      <c r="BG20" s="182"/>
      <c r="BH20" s="184"/>
      <c r="BI20" s="180"/>
      <c r="BJ20" s="183"/>
      <c r="BK20" s="182"/>
      <c r="BL20" s="183"/>
      <c r="BM20" s="179"/>
      <c r="BN20" s="183"/>
      <c r="BO20" s="184"/>
      <c r="BP20" s="185"/>
      <c r="BQ20" s="183"/>
      <c r="BR20" s="182"/>
      <c r="BT20" s="176"/>
      <c r="BU20" s="177"/>
      <c r="BW20" s="179"/>
      <c r="BX20" s="180"/>
      <c r="BY20" s="181"/>
      <c r="BZ20" s="182"/>
      <c r="CA20" s="183"/>
      <c r="CB20" s="179"/>
      <c r="CC20" s="183"/>
      <c r="CD20" s="184"/>
      <c r="CE20" s="185"/>
      <c r="CF20" s="183"/>
      <c r="CG20" s="182"/>
      <c r="CH20" s="184"/>
    </row>
    <row r="21" spans="1:88" x14ac:dyDescent="0.2">
      <c r="B21" s="24"/>
      <c r="C21" s="162"/>
      <c r="D21" s="162"/>
      <c r="E21" s="162"/>
      <c r="F21" s="164"/>
      <c r="G21" s="165"/>
      <c r="H21" s="165"/>
      <c r="I21" s="165"/>
      <c r="J21" s="165"/>
      <c r="K21" s="165"/>
      <c r="L21" s="165"/>
      <c r="M21" s="165"/>
      <c r="N21" s="166"/>
      <c r="O21" s="167"/>
      <c r="P21" s="168"/>
      <c r="Q21" s="168"/>
      <c r="R21" s="24"/>
      <c r="S21" s="168"/>
      <c r="T21" s="169"/>
      <c r="U21" s="170"/>
      <c r="V21" s="76"/>
      <c r="W21" s="170"/>
      <c r="X21" s="63"/>
      <c r="Y21" s="170"/>
      <c r="Z21" s="63"/>
      <c r="AA21" s="63"/>
      <c r="AB21" s="170"/>
      <c r="AC21" s="171"/>
      <c r="AD21" s="53"/>
      <c r="AE21" s="53"/>
      <c r="AF21" s="171"/>
      <c r="AG21" s="172"/>
      <c r="AH21" s="172"/>
      <c r="AI21" s="173"/>
      <c r="AJ21" s="173"/>
      <c r="AK21" s="171"/>
      <c r="AL21" s="174"/>
      <c r="AN21" s="171"/>
      <c r="AO21" s="171"/>
      <c r="AP21" s="175"/>
      <c r="AQ21" s="171"/>
      <c r="AR21" s="171"/>
      <c r="AS21" s="175"/>
      <c r="AT21" s="176"/>
      <c r="AU21" s="177"/>
      <c r="AV21" s="178"/>
      <c r="AW21" s="179"/>
      <c r="AX21" s="180"/>
      <c r="AY21" s="181"/>
      <c r="AZ21" s="182"/>
      <c r="BA21" s="183"/>
      <c r="BB21" s="179"/>
      <c r="BC21" s="183"/>
      <c r="BD21" s="184"/>
      <c r="BE21" s="185"/>
      <c r="BF21" s="183"/>
      <c r="BG21" s="182"/>
      <c r="BH21" s="184"/>
      <c r="BI21" s="180"/>
      <c r="BJ21" s="183"/>
      <c r="BK21" s="182"/>
      <c r="BL21" s="183"/>
      <c r="BM21" s="179"/>
      <c r="BN21" s="183"/>
      <c r="BO21" s="184"/>
      <c r="BP21" s="185"/>
      <c r="BQ21" s="183"/>
      <c r="BR21" s="182"/>
      <c r="BT21" s="176"/>
      <c r="BU21" s="177"/>
      <c r="BW21" s="179"/>
      <c r="BX21" s="180"/>
      <c r="BY21" s="181"/>
      <c r="BZ21" s="182"/>
      <c r="CA21" s="183"/>
      <c r="CB21" s="179"/>
      <c r="CC21" s="183"/>
      <c r="CD21" s="184"/>
      <c r="CE21" s="185"/>
      <c r="CF21" s="183"/>
      <c r="CG21" s="182"/>
      <c r="CH21" s="184"/>
      <c r="CI21" s="21"/>
      <c r="CJ21" s="21"/>
    </row>
    <row r="22" spans="1:88" x14ac:dyDescent="0.2">
      <c r="B22" s="24"/>
      <c r="C22" s="162"/>
      <c r="D22" s="162"/>
      <c r="E22" s="162"/>
      <c r="F22" s="164"/>
      <c r="G22" s="165"/>
      <c r="H22" s="165"/>
      <c r="I22" s="165"/>
      <c r="J22" s="165"/>
      <c r="K22" s="23"/>
      <c r="L22" s="23"/>
      <c r="M22" s="166"/>
      <c r="N22" s="166"/>
      <c r="O22" s="167"/>
      <c r="P22" s="168"/>
      <c r="Q22" s="169"/>
      <c r="R22" s="24"/>
      <c r="S22" s="168"/>
      <c r="T22" s="169"/>
      <c r="U22" s="170"/>
      <c r="V22" s="76"/>
      <c r="W22" s="170"/>
      <c r="X22" s="63"/>
      <c r="Y22" s="170"/>
      <c r="Z22" s="63"/>
      <c r="AA22" s="63"/>
      <c r="AB22" s="170"/>
      <c r="AC22" s="171"/>
      <c r="AD22" s="53"/>
      <c r="AE22" s="53"/>
      <c r="AF22" s="171"/>
      <c r="AG22" s="172"/>
      <c r="AH22" s="172"/>
      <c r="AI22" s="173"/>
      <c r="AJ22" s="173"/>
      <c r="AK22" s="171"/>
      <c r="AL22" s="174"/>
      <c r="AN22" s="171"/>
      <c r="AO22" s="171"/>
      <c r="AP22" s="175"/>
      <c r="AQ22" s="171"/>
      <c r="AR22" s="171"/>
      <c r="AS22" s="175"/>
      <c r="AT22" s="176"/>
      <c r="AU22" s="177"/>
      <c r="AV22" s="178"/>
      <c r="AW22" s="179"/>
      <c r="AX22" s="180"/>
      <c r="AY22" s="181"/>
      <c r="AZ22" s="182"/>
      <c r="BA22" s="183"/>
      <c r="BB22" s="179"/>
      <c r="BC22" s="183"/>
      <c r="BD22" s="184"/>
      <c r="BE22" s="185"/>
      <c r="BF22" s="183"/>
      <c r="BG22" s="182"/>
      <c r="BH22" s="184"/>
      <c r="BI22" s="180"/>
      <c r="BJ22" s="183"/>
      <c r="BK22" s="182"/>
      <c r="BL22" s="183"/>
      <c r="BM22" s="179"/>
      <c r="BN22" s="183"/>
      <c r="BO22" s="184"/>
      <c r="BP22" s="185"/>
      <c r="BQ22" s="183"/>
      <c r="BR22" s="182"/>
      <c r="BT22" s="176"/>
      <c r="BU22" s="177"/>
      <c r="BW22" s="179"/>
      <c r="BX22" s="180"/>
      <c r="BY22" s="181"/>
      <c r="BZ22" s="182"/>
      <c r="CA22" s="183"/>
      <c r="CB22" s="179"/>
      <c r="CC22" s="183"/>
      <c r="CD22" s="184"/>
      <c r="CE22" s="185"/>
      <c r="CF22" s="183"/>
      <c r="CG22" s="182"/>
      <c r="CH22" s="184"/>
    </row>
    <row r="23" spans="1:88" x14ac:dyDescent="0.2">
      <c r="B23" s="53"/>
      <c r="C23" s="53"/>
      <c r="D23" s="53"/>
      <c r="E23" s="53"/>
      <c r="F23" s="53"/>
      <c r="G23" s="53"/>
      <c r="H23" s="170"/>
      <c r="I23" s="53"/>
      <c r="J23" s="53"/>
      <c r="K23" s="53"/>
      <c r="L23" s="53"/>
      <c r="M23" s="186"/>
      <c r="N23" s="186"/>
      <c r="O23" s="80"/>
      <c r="P23" s="187"/>
      <c r="Q23" s="188"/>
      <c r="R23" s="76"/>
      <c r="S23" s="170"/>
      <c r="T23" s="76"/>
      <c r="U23" s="170"/>
      <c r="V23" s="76"/>
      <c r="W23" s="170"/>
      <c r="X23" s="79"/>
      <c r="Y23" s="170"/>
      <c r="Z23" s="79"/>
      <c r="AA23" s="79"/>
      <c r="AB23" s="170"/>
      <c r="AC23" s="171"/>
      <c r="AD23" s="53"/>
      <c r="AE23" s="53"/>
      <c r="AF23" s="171"/>
      <c r="AG23" s="172"/>
      <c r="AH23" s="172"/>
      <c r="AI23" s="173"/>
      <c r="AJ23" s="173"/>
      <c r="AK23" s="171"/>
      <c r="AL23" s="170"/>
      <c r="AN23" s="171"/>
      <c r="AO23" s="171"/>
      <c r="AP23" s="171"/>
      <c r="AQ23" s="171"/>
      <c r="AR23" s="171"/>
      <c r="AS23" s="171"/>
      <c r="AT23" s="176"/>
      <c r="AU23" s="177"/>
      <c r="AV23" s="178"/>
      <c r="AW23" s="179"/>
      <c r="AX23" s="180"/>
      <c r="AY23" s="181"/>
      <c r="AZ23" s="182"/>
      <c r="BA23" s="183"/>
      <c r="BB23" s="179"/>
      <c r="BC23" s="183"/>
      <c r="BD23" s="184"/>
      <c r="BE23" s="185"/>
      <c r="BF23" s="183"/>
      <c r="BG23" s="182"/>
      <c r="BH23" s="184"/>
      <c r="BI23" s="180"/>
      <c r="BJ23" s="183"/>
      <c r="BK23" s="182"/>
      <c r="BL23" s="183"/>
      <c r="BM23" s="179"/>
      <c r="BN23" s="183"/>
      <c r="BO23" s="184"/>
      <c r="BP23" s="185"/>
      <c r="BQ23" s="183"/>
      <c r="BR23" s="182"/>
      <c r="BT23" s="53"/>
      <c r="CI23" s="21"/>
      <c r="CJ23" s="21"/>
    </row>
    <row r="24" spans="1:88" x14ac:dyDescent="0.2">
      <c r="B24" s="53"/>
      <c r="C24" s="53"/>
      <c r="D24" s="53"/>
      <c r="E24" s="53"/>
      <c r="F24" s="53"/>
      <c r="G24" s="53"/>
      <c r="H24" s="170"/>
      <c r="I24" s="53"/>
      <c r="J24" s="53"/>
      <c r="K24" s="53"/>
      <c r="L24" s="53"/>
      <c r="O24" s="80"/>
      <c r="R24" s="53"/>
      <c r="S24" s="170"/>
      <c r="T24" s="76"/>
      <c r="U24" s="170"/>
      <c r="V24" s="76"/>
      <c r="W24" s="170"/>
      <c r="X24" s="79"/>
      <c r="Y24" s="170"/>
      <c r="Z24" s="79"/>
      <c r="AA24" s="79"/>
      <c r="AB24" s="170"/>
      <c r="AC24" s="171"/>
      <c r="AD24" s="53"/>
      <c r="AE24" s="53"/>
      <c r="AF24" s="171"/>
      <c r="AG24" s="172"/>
      <c r="AH24" s="172"/>
      <c r="AI24" s="173"/>
      <c r="AJ24" s="173"/>
      <c r="AK24" s="171"/>
      <c r="AL24" s="170"/>
      <c r="AN24" s="171"/>
      <c r="AO24" s="171"/>
      <c r="AP24" s="171"/>
      <c r="AQ24" s="171"/>
      <c r="AR24" s="171"/>
      <c r="AS24" s="171"/>
      <c r="AT24" s="176"/>
      <c r="AU24" s="177"/>
      <c r="AV24" s="178"/>
      <c r="AW24" s="179"/>
      <c r="AX24" s="180"/>
      <c r="AY24" s="181"/>
      <c r="AZ24" s="182"/>
      <c r="BA24" s="183"/>
      <c r="BB24" s="179"/>
      <c r="BC24" s="183"/>
      <c r="BD24" s="184"/>
      <c r="BE24" s="185"/>
      <c r="BF24" s="183"/>
      <c r="BG24" s="182"/>
      <c r="BH24" s="184"/>
      <c r="BI24" s="180"/>
      <c r="BJ24" s="183"/>
      <c r="BK24" s="182"/>
      <c r="BL24" s="183"/>
      <c r="BM24" s="179"/>
      <c r="BN24" s="183"/>
      <c r="BO24" s="184"/>
      <c r="BP24" s="185"/>
      <c r="BQ24" s="183"/>
      <c r="BR24" s="182"/>
      <c r="BT24" s="53"/>
    </row>
    <row r="25" spans="1:88" x14ac:dyDescent="0.2">
      <c r="A25" s="189" t="s">
        <v>138</v>
      </c>
      <c r="C25" s="190"/>
      <c r="D25" s="190"/>
      <c r="E25" s="190"/>
      <c r="F25" s="191">
        <v>9.7288632583600616E-3</v>
      </c>
      <c r="H25" s="24"/>
      <c r="J25" s="192"/>
      <c r="O25" s="18"/>
      <c r="P25" s="193"/>
      <c r="R25" s="53"/>
      <c r="S25" s="170"/>
      <c r="T25" s="76"/>
      <c r="U25" s="170"/>
      <c r="V25" s="76"/>
      <c r="W25" s="170"/>
      <c r="X25" s="79"/>
      <c r="Y25" s="170"/>
      <c r="Z25" s="79"/>
      <c r="AA25" s="79"/>
      <c r="AB25" s="170"/>
      <c r="AC25" s="171"/>
      <c r="AD25" s="53"/>
      <c r="AE25" s="53"/>
      <c r="AF25" s="171"/>
      <c r="AG25" s="172"/>
      <c r="AH25" s="172"/>
      <c r="AI25" s="173"/>
      <c r="AJ25" s="173"/>
      <c r="AK25" s="171"/>
      <c r="AL25" s="170"/>
      <c r="AN25" s="171"/>
      <c r="AO25" s="171"/>
      <c r="AP25" s="171"/>
      <c r="AQ25" s="171"/>
      <c r="AR25" s="171"/>
      <c r="AS25" s="171"/>
      <c r="AT25" s="176"/>
      <c r="AU25" s="177"/>
      <c r="AV25" s="178"/>
      <c r="AW25" s="179"/>
      <c r="AX25" s="180"/>
      <c r="AY25" s="181"/>
      <c r="AZ25" s="182"/>
      <c r="BA25" s="183"/>
      <c r="BB25" s="179"/>
      <c r="BC25" s="183"/>
      <c r="BD25" s="184"/>
      <c r="BE25" s="185"/>
      <c r="BF25" s="183"/>
      <c r="BG25" s="182"/>
      <c r="BH25" s="184"/>
      <c r="BI25" s="180"/>
      <c r="BJ25" s="183"/>
      <c r="BK25" s="182"/>
      <c r="BL25" s="183"/>
      <c r="BM25" s="179"/>
      <c r="BN25" s="183"/>
      <c r="BO25" s="184"/>
      <c r="BP25" s="185"/>
      <c r="BQ25" s="183"/>
      <c r="BR25" s="182"/>
      <c r="BT25" s="53"/>
    </row>
    <row r="26" spans="1:88" x14ac:dyDescent="0.2">
      <c r="A26" s="192" t="s">
        <v>139</v>
      </c>
      <c r="C26" s="190"/>
      <c r="D26" s="190"/>
      <c r="E26" s="190"/>
      <c r="F26" s="191">
        <v>0.7</v>
      </c>
      <c r="G26" s="24"/>
      <c r="J26" s="194"/>
      <c r="O26" s="18"/>
      <c r="P26" s="18"/>
      <c r="Q26" s="76"/>
      <c r="R26" s="53"/>
      <c r="S26" s="170"/>
      <c r="T26" s="76"/>
      <c r="U26" s="170"/>
      <c r="V26" s="76"/>
      <c r="W26" s="170"/>
      <c r="X26" s="79"/>
      <c r="Y26" s="170"/>
      <c r="Z26" s="79"/>
      <c r="AA26" s="79"/>
      <c r="AB26" s="170"/>
      <c r="AC26" s="171"/>
      <c r="AD26" s="53"/>
      <c r="AE26" s="53"/>
      <c r="AF26" s="171"/>
      <c r="AG26" s="172"/>
      <c r="AH26" s="172"/>
      <c r="AI26" s="173"/>
      <c r="AJ26" s="173"/>
      <c r="AK26" s="171"/>
      <c r="AL26" s="170"/>
      <c r="AN26" s="171"/>
      <c r="AO26" s="171"/>
      <c r="AP26" s="171"/>
      <c r="AQ26" s="171"/>
      <c r="AR26" s="171"/>
      <c r="AS26" s="171"/>
      <c r="AT26" s="176"/>
      <c r="AU26" s="177"/>
      <c r="AV26" s="178"/>
      <c r="AW26" s="179"/>
      <c r="AX26" s="180"/>
      <c r="AY26" s="181"/>
      <c r="AZ26" s="182"/>
      <c r="BA26" s="183"/>
      <c r="BB26" s="179"/>
      <c r="BC26" s="183"/>
      <c r="BD26" s="184"/>
      <c r="BE26" s="185"/>
      <c r="BF26" s="183"/>
      <c r="BG26" s="182"/>
      <c r="BH26" s="184"/>
      <c r="BI26" s="180"/>
      <c r="BJ26" s="183"/>
      <c r="BK26" s="182"/>
      <c r="BL26" s="183"/>
      <c r="BM26" s="179"/>
      <c r="BN26" s="183"/>
      <c r="BO26" s="184"/>
      <c r="BP26" s="185"/>
      <c r="BQ26" s="183"/>
      <c r="BR26" s="182"/>
      <c r="BT26" s="53"/>
    </row>
    <row r="27" spans="1:88" x14ac:dyDescent="0.2">
      <c r="A27" s="192"/>
      <c r="C27" s="190"/>
      <c r="D27" s="190"/>
      <c r="E27" s="190"/>
      <c r="F27" s="190"/>
      <c r="G27" s="24"/>
      <c r="I27" s="191"/>
      <c r="J27" s="53"/>
      <c r="O27" s="18"/>
      <c r="P27" s="18"/>
      <c r="Q27" s="76"/>
      <c r="R27" s="53"/>
      <c r="S27" s="170"/>
      <c r="T27" s="76"/>
      <c r="U27" s="170"/>
      <c r="V27" s="76"/>
      <c r="W27" s="170"/>
      <c r="X27" s="79"/>
      <c r="Y27" s="170"/>
      <c r="Z27" s="79"/>
      <c r="AA27" s="79"/>
      <c r="AB27" s="170"/>
      <c r="AC27" s="171"/>
      <c r="AD27" s="53"/>
      <c r="AE27" s="53"/>
      <c r="AF27" s="171"/>
      <c r="AG27" s="172"/>
      <c r="AH27" s="172"/>
      <c r="AI27" s="173"/>
      <c r="AJ27" s="173"/>
      <c r="AK27" s="171"/>
      <c r="AL27" s="170"/>
      <c r="AN27" s="171"/>
      <c r="AO27" s="171"/>
      <c r="AP27" s="171"/>
      <c r="AQ27" s="171"/>
      <c r="AR27" s="171"/>
      <c r="AS27" s="171"/>
      <c r="AT27" s="176"/>
      <c r="AU27" s="177"/>
      <c r="AV27" s="178"/>
      <c r="AW27" s="179"/>
      <c r="AX27" s="180"/>
      <c r="AY27" s="181"/>
      <c r="AZ27" s="182"/>
      <c r="BA27" s="183"/>
      <c r="BB27" s="179"/>
      <c r="BC27" s="183"/>
      <c r="BD27" s="184"/>
      <c r="BE27" s="185"/>
      <c r="BF27" s="183"/>
      <c r="BG27" s="182"/>
      <c r="BH27" s="184"/>
      <c r="BI27" s="180"/>
      <c r="BJ27" s="183"/>
      <c r="BK27" s="182"/>
      <c r="BL27" s="183"/>
      <c r="BM27" s="179"/>
      <c r="BN27" s="183"/>
      <c r="BO27" s="184"/>
      <c r="BP27" s="185"/>
      <c r="BQ27" s="183"/>
      <c r="BR27" s="182"/>
      <c r="BT27" s="53"/>
    </row>
    <row r="28" spans="1:88" x14ac:dyDescent="0.2">
      <c r="A28" s="192" t="s">
        <v>140</v>
      </c>
      <c r="C28" s="190"/>
      <c r="D28" s="190"/>
      <c r="E28" s="190"/>
      <c r="F28" s="190"/>
      <c r="G28" s="24"/>
      <c r="I28" s="191"/>
      <c r="J28" s="53"/>
      <c r="O28" s="18"/>
      <c r="P28" s="79"/>
      <c r="Q28" s="76"/>
      <c r="R28" s="53"/>
      <c r="S28" s="170"/>
      <c r="T28" s="76"/>
      <c r="U28" s="170"/>
      <c r="V28" s="76"/>
      <c r="W28" s="170"/>
      <c r="X28" s="79"/>
      <c r="Y28" s="170"/>
      <c r="Z28" s="79"/>
      <c r="AA28" s="79"/>
      <c r="AB28" s="170"/>
      <c r="AC28" s="171"/>
      <c r="AD28" s="53"/>
      <c r="AE28" s="53"/>
      <c r="AF28" s="171"/>
      <c r="AG28" s="172"/>
      <c r="AH28" s="172"/>
      <c r="AI28" s="173"/>
      <c r="AJ28" s="173"/>
      <c r="AK28" s="171"/>
      <c r="AL28" s="170"/>
      <c r="AN28" s="171"/>
      <c r="AO28" s="171"/>
      <c r="AP28" s="171"/>
      <c r="AQ28" s="171"/>
      <c r="AR28" s="171"/>
      <c r="AS28" s="171"/>
      <c r="AT28" s="176"/>
      <c r="AU28" s="177"/>
      <c r="AV28" s="178"/>
      <c r="AW28" s="179"/>
      <c r="AX28" s="180"/>
      <c r="AY28" s="181"/>
      <c r="AZ28" s="182"/>
      <c r="BA28" s="183"/>
      <c r="BB28" s="179"/>
      <c r="BC28" s="183"/>
      <c r="BD28" s="184"/>
      <c r="BE28" s="185"/>
      <c r="BF28" s="183"/>
      <c r="BG28" s="182"/>
      <c r="BH28" s="184"/>
      <c r="BI28" s="180"/>
      <c r="BJ28" s="183"/>
      <c r="BK28" s="182"/>
      <c r="BL28" s="183"/>
      <c r="BM28" s="179"/>
      <c r="BN28" s="183"/>
      <c r="BO28" s="184"/>
      <c r="BP28" s="185"/>
      <c r="BQ28" s="183"/>
      <c r="BR28" s="182"/>
      <c r="BT28" s="53"/>
    </row>
    <row r="29" spans="1:88" x14ac:dyDescent="0.2">
      <c r="A29" s="192" t="s">
        <v>141</v>
      </c>
      <c r="C29" s="190"/>
      <c r="D29" s="190"/>
      <c r="E29" s="190"/>
      <c r="F29" s="190"/>
      <c r="G29" s="24"/>
      <c r="I29" s="191"/>
      <c r="J29" s="53"/>
      <c r="O29" s="18"/>
      <c r="P29" s="18"/>
      <c r="Q29" s="76"/>
      <c r="R29" s="53"/>
      <c r="S29" s="170"/>
      <c r="T29" s="76"/>
      <c r="U29" s="170"/>
      <c r="V29" s="76"/>
      <c r="W29" s="170"/>
      <c r="X29" s="79"/>
      <c r="Y29" s="170"/>
      <c r="Z29" s="79"/>
      <c r="AA29" s="79"/>
      <c r="AB29" s="170"/>
      <c r="AC29" s="171"/>
      <c r="AD29" s="53"/>
      <c r="AE29" s="53"/>
      <c r="AF29" s="171"/>
      <c r="AG29" s="172"/>
      <c r="AH29" s="172"/>
      <c r="AI29" s="173"/>
      <c r="AJ29" s="173"/>
      <c r="AK29" s="171"/>
      <c r="AL29" s="170"/>
      <c r="AN29" s="171"/>
      <c r="AO29" s="171"/>
      <c r="AP29" s="171"/>
      <c r="AQ29" s="171"/>
      <c r="AR29" s="171"/>
      <c r="AS29" s="171"/>
      <c r="AT29" s="176"/>
      <c r="AU29" s="177"/>
      <c r="AV29" s="178"/>
      <c r="AW29" s="179"/>
      <c r="AX29" s="180"/>
      <c r="AY29" s="181"/>
      <c r="AZ29" s="182"/>
      <c r="BA29" s="183"/>
      <c r="BB29" s="179"/>
      <c r="BC29" s="183"/>
      <c r="BD29" s="184"/>
      <c r="BE29" s="185"/>
      <c r="BF29" s="183"/>
      <c r="BG29" s="182"/>
      <c r="BH29" s="184"/>
      <c r="BI29" s="180"/>
      <c r="BJ29" s="183"/>
      <c r="BK29" s="182"/>
      <c r="BL29" s="183"/>
      <c r="BM29" s="179"/>
      <c r="BN29" s="183"/>
      <c r="BO29" s="184"/>
      <c r="BP29" s="185"/>
      <c r="BQ29" s="183"/>
      <c r="BR29" s="182"/>
      <c r="BT29" s="53"/>
    </row>
    <row r="30" spans="1:88" x14ac:dyDescent="0.2">
      <c r="A30" s="192" t="s">
        <v>142</v>
      </c>
      <c r="C30" s="190"/>
      <c r="D30" s="190"/>
      <c r="E30" s="190"/>
      <c r="F30" s="190"/>
      <c r="G30" s="24"/>
      <c r="I30" s="191"/>
      <c r="J30" s="53"/>
      <c r="O30" s="18"/>
      <c r="P30" s="18"/>
      <c r="Q30" s="76"/>
      <c r="R30" s="53"/>
      <c r="S30" s="170"/>
      <c r="T30" s="76"/>
      <c r="U30" s="170"/>
      <c r="V30" s="76"/>
      <c r="W30" s="170"/>
      <c r="X30" s="79"/>
      <c r="Y30" s="170"/>
      <c r="Z30" s="79"/>
      <c r="AA30" s="79"/>
      <c r="AB30" s="170"/>
      <c r="AC30" s="171"/>
      <c r="AD30" s="53"/>
      <c r="AE30" s="53"/>
      <c r="AF30" s="171"/>
      <c r="AG30" s="172"/>
      <c r="AH30" s="172"/>
      <c r="AI30" s="173"/>
      <c r="AJ30" s="173"/>
      <c r="AK30" s="171"/>
      <c r="AL30" s="170"/>
      <c r="AN30" s="171"/>
      <c r="AO30" s="171"/>
      <c r="AP30" s="171"/>
      <c r="AQ30" s="171"/>
      <c r="AR30" s="171"/>
      <c r="AS30" s="171"/>
      <c r="AT30" s="176"/>
      <c r="AU30" s="177"/>
      <c r="AV30" s="178"/>
      <c r="AW30" s="179"/>
      <c r="AX30" s="180"/>
      <c r="AY30" s="181"/>
      <c r="AZ30" s="182"/>
      <c r="BA30" s="183"/>
      <c r="BB30" s="179"/>
      <c r="BC30" s="183"/>
      <c r="BD30" s="184"/>
      <c r="BE30" s="185"/>
      <c r="BF30" s="183"/>
      <c r="BG30" s="182"/>
      <c r="BH30" s="184"/>
      <c r="BI30" s="180"/>
      <c r="BJ30" s="183"/>
      <c r="BK30" s="182"/>
      <c r="BL30" s="183"/>
      <c r="BM30" s="179"/>
      <c r="BN30" s="183"/>
      <c r="BO30" s="184"/>
      <c r="BP30" s="185"/>
      <c r="BQ30" s="183"/>
      <c r="BR30" s="182"/>
      <c r="BT30" s="53"/>
    </row>
    <row r="31" spans="1:88" x14ac:dyDescent="0.2">
      <c r="A31" s="192" t="s">
        <v>143</v>
      </c>
      <c r="C31" s="190"/>
      <c r="D31" s="190"/>
      <c r="E31" s="190"/>
      <c r="F31" s="190"/>
      <c r="G31" s="24"/>
      <c r="I31" s="191"/>
      <c r="J31" s="53"/>
      <c r="O31" s="18"/>
      <c r="P31" s="18"/>
      <c r="Q31" s="76"/>
      <c r="R31" s="53"/>
      <c r="S31" s="170"/>
      <c r="T31" s="76"/>
      <c r="U31" s="170"/>
      <c r="V31" s="76"/>
      <c r="W31" s="170"/>
      <c r="X31" s="79"/>
      <c r="Y31" s="170"/>
      <c r="Z31" s="79"/>
      <c r="AA31" s="79"/>
      <c r="AB31" s="170"/>
      <c r="AC31" s="171"/>
      <c r="AD31" s="53"/>
      <c r="AE31" s="53"/>
      <c r="AF31" s="171"/>
      <c r="AG31" s="172"/>
      <c r="AH31" s="172"/>
      <c r="AI31" s="173"/>
      <c r="AJ31" s="173"/>
      <c r="AK31" s="171"/>
      <c r="AL31" s="170"/>
      <c r="AN31" s="171"/>
      <c r="AO31" s="171"/>
      <c r="AP31" s="171"/>
      <c r="AQ31" s="171"/>
      <c r="AR31" s="171"/>
      <c r="AS31" s="171"/>
      <c r="AT31" s="176"/>
      <c r="AU31" s="177"/>
      <c r="AV31" s="178"/>
      <c r="AW31" s="179"/>
      <c r="AX31" s="180"/>
      <c r="AY31" s="181"/>
      <c r="AZ31" s="182"/>
      <c r="BA31" s="183"/>
      <c r="BB31" s="179"/>
      <c r="BC31" s="183"/>
      <c r="BD31" s="184"/>
      <c r="BE31" s="185"/>
      <c r="BF31" s="183"/>
      <c r="BG31" s="182"/>
      <c r="BH31" s="184"/>
      <c r="BI31" s="180"/>
      <c r="BJ31" s="183"/>
      <c r="BK31" s="182"/>
      <c r="BL31" s="183"/>
      <c r="BM31" s="179"/>
      <c r="BN31" s="183"/>
      <c r="BO31" s="184"/>
      <c r="BP31" s="185"/>
      <c r="BQ31" s="183"/>
      <c r="BR31" s="182"/>
      <c r="BT31" s="53"/>
    </row>
    <row r="32" spans="1:88" x14ac:dyDescent="0.2">
      <c r="A32" s="192"/>
      <c r="C32" s="190"/>
      <c r="D32" s="190"/>
      <c r="E32" s="190"/>
      <c r="F32" s="190"/>
      <c r="G32" s="24"/>
      <c r="I32" s="191"/>
      <c r="J32" s="53"/>
      <c r="O32" s="18"/>
      <c r="P32" s="18"/>
      <c r="Q32" s="76"/>
      <c r="R32" s="53"/>
      <c r="S32" s="170"/>
      <c r="T32" s="76"/>
      <c r="U32" s="170"/>
      <c r="V32" s="76"/>
      <c r="W32" s="170"/>
      <c r="X32" s="79"/>
      <c r="Y32" s="170"/>
      <c r="Z32" s="79"/>
      <c r="AA32" s="79"/>
      <c r="AB32" s="170"/>
      <c r="AC32" s="171"/>
      <c r="AD32" s="53"/>
      <c r="AE32" s="53"/>
      <c r="AF32" s="171"/>
      <c r="AG32" s="172"/>
      <c r="AH32" s="172"/>
      <c r="AI32" s="173"/>
      <c r="AJ32" s="173"/>
      <c r="AK32" s="171"/>
      <c r="AL32" s="170"/>
      <c r="AN32" s="171"/>
      <c r="AO32" s="171"/>
      <c r="AP32" s="171"/>
      <c r="AQ32" s="171"/>
      <c r="AR32" s="171"/>
      <c r="AS32" s="171"/>
      <c r="AT32" s="176"/>
      <c r="AU32" s="177"/>
      <c r="AV32" s="178"/>
      <c r="AW32" s="179"/>
      <c r="AX32" s="180"/>
      <c r="AY32" s="181"/>
      <c r="AZ32" s="182"/>
      <c r="BA32" s="183"/>
      <c r="BB32" s="179"/>
      <c r="BC32" s="183"/>
      <c r="BD32" s="184"/>
      <c r="BE32" s="185"/>
      <c r="BF32" s="183"/>
      <c r="BG32" s="182"/>
      <c r="BH32" s="184"/>
      <c r="BI32" s="180"/>
      <c r="BJ32" s="183"/>
      <c r="BK32" s="182"/>
      <c r="BL32" s="183"/>
      <c r="BM32" s="179"/>
      <c r="BN32" s="183"/>
      <c r="BO32" s="184"/>
      <c r="BP32" s="185"/>
      <c r="BQ32" s="183"/>
      <c r="BR32" s="182"/>
      <c r="BT32" s="53"/>
    </row>
    <row r="33" spans="1:72" x14ac:dyDescent="0.2">
      <c r="A33" s="195"/>
      <c r="B33" s="53"/>
      <c r="C33" s="53"/>
      <c r="D33" s="53"/>
      <c r="E33" s="53"/>
      <c r="F33" s="53"/>
      <c r="G33" s="53"/>
      <c r="H33" s="170"/>
      <c r="I33" s="53"/>
      <c r="J33" s="53"/>
      <c r="K33" s="53"/>
      <c r="L33" s="53"/>
      <c r="M33" s="53"/>
      <c r="N33" s="53"/>
      <c r="O33" s="80"/>
      <c r="P33" s="170"/>
      <c r="Q33" s="76"/>
      <c r="R33" s="53"/>
      <c r="S33" s="170"/>
      <c r="T33" s="76"/>
      <c r="U33" s="170"/>
      <c r="V33" s="76"/>
      <c r="W33" s="170"/>
      <c r="X33" s="79"/>
      <c r="Y33" s="170"/>
      <c r="Z33" s="79"/>
      <c r="AA33" s="79"/>
      <c r="AB33" s="170"/>
      <c r="AC33" s="171"/>
      <c r="AD33" s="53"/>
      <c r="AE33" s="53"/>
      <c r="AF33" s="171"/>
      <c r="AG33" s="172"/>
      <c r="AH33" s="172"/>
      <c r="AI33" s="173"/>
      <c r="AJ33" s="173"/>
      <c r="AK33" s="171"/>
      <c r="AL33" s="170"/>
      <c r="AN33" s="171"/>
      <c r="AO33" s="171"/>
      <c r="AP33" s="171"/>
      <c r="AQ33" s="171"/>
      <c r="AR33" s="171"/>
      <c r="AS33" s="171"/>
      <c r="AT33" s="176"/>
      <c r="AU33" s="177"/>
      <c r="AV33" s="178"/>
      <c r="AW33" s="179"/>
      <c r="AX33" s="180"/>
      <c r="AY33" s="181"/>
      <c r="AZ33" s="182"/>
      <c r="BA33" s="183"/>
      <c r="BB33" s="179"/>
      <c r="BC33" s="183"/>
      <c r="BD33" s="184"/>
      <c r="BE33" s="185"/>
      <c r="BF33" s="183"/>
      <c r="BG33" s="182"/>
      <c r="BH33" s="184"/>
      <c r="BI33" s="180"/>
      <c r="BJ33" s="183"/>
      <c r="BK33" s="182"/>
      <c r="BL33" s="183"/>
      <c r="BM33" s="179"/>
      <c r="BN33" s="183"/>
      <c r="BO33" s="184"/>
      <c r="BP33" s="185"/>
      <c r="BQ33" s="183"/>
      <c r="BR33" s="182"/>
      <c r="BT33" s="53"/>
    </row>
    <row r="34" spans="1:72" x14ac:dyDescent="0.2">
      <c r="A34" s="329" t="s">
        <v>144</v>
      </c>
      <c r="B34" s="329"/>
      <c r="C34" s="329"/>
      <c r="D34" s="329"/>
      <c r="E34" s="329"/>
      <c r="F34" s="329"/>
      <c r="G34" s="53"/>
      <c r="H34" s="170"/>
      <c r="I34" s="53"/>
      <c r="J34" s="53"/>
      <c r="K34" s="53"/>
      <c r="L34" s="53"/>
      <c r="M34" s="53"/>
      <c r="N34" s="53"/>
      <c r="O34" s="80"/>
      <c r="P34" s="170"/>
      <c r="Q34" s="76"/>
      <c r="R34" s="53"/>
      <c r="S34" s="170"/>
      <c r="T34" s="76"/>
      <c r="U34" s="170"/>
      <c r="V34" s="76"/>
      <c r="W34" s="170"/>
      <c r="X34" s="79"/>
      <c r="Y34" s="170"/>
      <c r="Z34" s="79"/>
      <c r="AA34" s="79"/>
      <c r="AB34" s="170"/>
      <c r="AC34" s="171"/>
      <c r="AD34" s="53"/>
      <c r="AE34" s="53"/>
      <c r="AF34" s="171"/>
      <c r="AG34" s="172"/>
      <c r="AH34" s="172"/>
      <c r="AI34" s="173"/>
      <c r="AJ34" s="173"/>
      <c r="AK34" s="171"/>
      <c r="AL34" s="170"/>
      <c r="AN34" s="171"/>
      <c r="AO34" s="171"/>
      <c r="AP34" s="171"/>
      <c r="AQ34" s="171"/>
      <c r="AR34" s="171"/>
      <c r="AS34" s="171"/>
      <c r="AT34" s="176"/>
      <c r="AU34" s="177"/>
      <c r="AV34" s="178"/>
      <c r="AW34" s="179"/>
      <c r="AX34" s="180"/>
      <c r="AY34" s="181"/>
      <c r="AZ34" s="182"/>
      <c r="BA34" s="183"/>
      <c r="BB34" s="179"/>
      <c r="BC34" s="183"/>
      <c r="BD34" s="184"/>
      <c r="BE34" s="185"/>
      <c r="BF34" s="183"/>
      <c r="BG34" s="182"/>
      <c r="BH34" s="184"/>
      <c r="BI34" s="180"/>
      <c r="BJ34" s="183"/>
      <c r="BK34" s="182"/>
      <c r="BL34" s="183"/>
      <c r="BM34" s="179"/>
      <c r="BN34" s="183"/>
      <c r="BO34" s="184"/>
      <c r="BP34" s="185"/>
      <c r="BQ34" s="183"/>
      <c r="BR34" s="182"/>
      <c r="BT34" s="53"/>
    </row>
    <row r="35" spans="1:72" x14ac:dyDescent="0.2">
      <c r="A35" s="196" t="s">
        <v>145</v>
      </c>
      <c r="B35" s="329" t="s">
        <v>146</v>
      </c>
      <c r="C35" s="329"/>
      <c r="D35" s="329"/>
      <c r="E35" s="329"/>
      <c r="F35" s="329"/>
      <c r="G35" s="24"/>
      <c r="H35" s="24"/>
      <c r="Q35" s="18"/>
      <c r="S35" s="18"/>
      <c r="T35" s="18"/>
      <c r="U35" s="18"/>
      <c r="V35" s="18"/>
      <c r="W35" s="18"/>
      <c r="X35" s="18"/>
    </row>
    <row r="36" spans="1:72" x14ac:dyDescent="0.2">
      <c r="A36" s="197"/>
      <c r="B36" s="312" t="s">
        <v>147</v>
      </c>
      <c r="C36" s="312"/>
      <c r="D36" s="198"/>
      <c r="E36" s="198"/>
      <c r="F36" s="198" t="s">
        <v>148</v>
      </c>
      <c r="H36" s="43"/>
      <c r="Q36" s="18"/>
      <c r="S36" s="18"/>
      <c r="T36" s="18"/>
      <c r="U36" s="18"/>
      <c r="V36" s="18"/>
      <c r="W36" s="18"/>
      <c r="X36" s="18"/>
    </row>
    <row r="37" spans="1:72" x14ac:dyDescent="0.2">
      <c r="A37" s="198">
        <v>160</v>
      </c>
      <c r="B37" s="312">
        <f>160-4.7*2</f>
        <v>150.6</v>
      </c>
      <c r="C37" s="312"/>
      <c r="D37" s="198"/>
      <c r="E37" s="198"/>
      <c r="F37" s="199">
        <f>160-2*6.2</f>
        <v>147.6</v>
      </c>
      <c r="H37" s="23"/>
      <c r="Q37" s="18"/>
      <c r="S37" s="18"/>
      <c r="T37" s="18"/>
      <c r="U37" s="18"/>
      <c r="V37" s="18"/>
      <c r="W37" s="18"/>
      <c r="X37" s="18"/>
    </row>
    <row r="38" spans="1:72" x14ac:dyDescent="0.2">
      <c r="A38" s="198">
        <v>180</v>
      </c>
      <c r="B38" s="312">
        <f>180-5.3*2</f>
        <v>169.4</v>
      </c>
      <c r="C38" s="312"/>
      <c r="D38" s="198"/>
      <c r="E38" s="198"/>
      <c r="F38" s="199">
        <f>180-2*7</f>
        <v>166</v>
      </c>
      <c r="H38" s="23"/>
      <c r="Q38" s="18"/>
      <c r="S38" s="18"/>
      <c r="T38" s="18"/>
      <c r="U38" s="18"/>
      <c r="V38" s="18"/>
      <c r="W38" s="18"/>
      <c r="X38" s="18"/>
    </row>
    <row r="39" spans="1:72" x14ac:dyDescent="0.2">
      <c r="A39" s="198">
        <v>200</v>
      </c>
      <c r="B39" s="312">
        <f>200-5.9*2</f>
        <v>188.2</v>
      </c>
      <c r="C39" s="312"/>
      <c r="D39" s="198"/>
      <c r="E39" s="198"/>
      <c r="F39" s="199">
        <f>200-2*7.7</f>
        <v>184.6</v>
      </c>
      <c r="H39" s="23"/>
      <c r="Q39" s="18"/>
      <c r="S39" s="18"/>
      <c r="T39" s="18"/>
      <c r="U39" s="18"/>
      <c r="V39" s="18"/>
      <c r="W39" s="18"/>
      <c r="X39" s="18"/>
    </row>
    <row r="40" spans="1:72" x14ac:dyDescent="0.2">
      <c r="A40" s="198">
        <v>250</v>
      </c>
      <c r="B40" s="330">
        <f>250-7.3*2</f>
        <v>235.4</v>
      </c>
      <c r="C40" s="330"/>
      <c r="D40" s="200"/>
      <c r="E40" s="200"/>
      <c r="F40" s="199">
        <f>250-2*9.7</f>
        <v>230.6</v>
      </c>
      <c r="H40" s="23"/>
      <c r="Q40" s="18"/>
      <c r="S40" s="18"/>
      <c r="T40" s="18"/>
      <c r="U40" s="18"/>
      <c r="V40" s="18"/>
      <c r="W40" s="18"/>
      <c r="X40" s="18"/>
    </row>
    <row r="41" spans="1:72" x14ac:dyDescent="0.2">
      <c r="A41" s="198">
        <v>315</v>
      </c>
      <c r="B41" s="330">
        <f>315-9.2*2</f>
        <v>296.60000000000002</v>
      </c>
      <c r="C41" s="330"/>
      <c r="D41" s="200"/>
      <c r="E41" s="200"/>
      <c r="F41" s="199">
        <f>315-2*12.2</f>
        <v>290.60000000000002</v>
      </c>
      <c r="G41" s="193">
        <f>+A41-B41</f>
        <v>18.399999999999977</v>
      </c>
      <c r="H41" s="23"/>
      <c r="Q41" s="18"/>
      <c r="S41" s="18"/>
      <c r="T41" s="18"/>
      <c r="U41" s="18"/>
      <c r="V41" s="18"/>
      <c r="W41" s="18"/>
      <c r="X41" s="18"/>
    </row>
    <row r="42" spans="1:72" x14ac:dyDescent="0.2">
      <c r="A42" s="198">
        <v>355</v>
      </c>
      <c r="B42" s="330">
        <f>355-10.5*2</f>
        <v>334</v>
      </c>
      <c r="C42" s="330"/>
      <c r="D42" s="200"/>
      <c r="E42" s="200"/>
      <c r="F42" s="199">
        <f>355-2*13.7</f>
        <v>327.60000000000002</v>
      </c>
      <c r="G42" s="193">
        <f>+A42-B42</f>
        <v>21</v>
      </c>
      <c r="H42" s="23"/>
      <c r="Q42" s="18"/>
      <c r="S42" s="18"/>
      <c r="T42" s="18"/>
      <c r="U42" s="18"/>
      <c r="V42" s="18"/>
      <c r="W42" s="18"/>
      <c r="X42" s="18"/>
    </row>
    <row r="43" spans="1:72" x14ac:dyDescent="0.2">
      <c r="A43" s="198">
        <v>400</v>
      </c>
      <c r="B43" s="330">
        <f>400-11.7*2</f>
        <v>376.6</v>
      </c>
      <c r="C43" s="330"/>
      <c r="D43" s="200"/>
      <c r="E43" s="200"/>
      <c r="F43" s="199">
        <f>400-2*15.4</f>
        <v>369.2</v>
      </c>
      <c r="H43" s="23"/>
      <c r="Q43" s="18"/>
      <c r="S43" s="18"/>
      <c r="T43" s="18"/>
      <c r="U43" s="18"/>
      <c r="V43" s="18"/>
      <c r="W43" s="18"/>
      <c r="X43" s="18"/>
    </row>
    <row r="44" spans="1:72" x14ac:dyDescent="0.2">
      <c r="A44" s="198">
        <v>450</v>
      </c>
      <c r="B44" s="330"/>
      <c r="C44" s="330"/>
      <c r="D44" s="200"/>
      <c r="E44" s="200"/>
      <c r="F44" s="199">
        <f>450-2*17.4</f>
        <v>415.2</v>
      </c>
      <c r="H44" s="23"/>
      <c r="Q44" s="18"/>
      <c r="S44" s="18"/>
      <c r="T44" s="18"/>
      <c r="U44" s="18"/>
      <c r="V44" s="18"/>
      <c r="W44" s="18"/>
      <c r="X44" s="18"/>
    </row>
    <row r="45" spans="1:72" x14ac:dyDescent="0.2">
      <c r="A45" s="198">
        <v>500</v>
      </c>
      <c r="B45" s="330"/>
      <c r="C45" s="330"/>
      <c r="D45" s="200"/>
      <c r="E45" s="200"/>
      <c r="F45" s="199">
        <f>500-2*19.3</f>
        <v>461.4</v>
      </c>
      <c r="H45" s="23"/>
      <c r="Q45" s="18"/>
      <c r="S45" s="18"/>
      <c r="T45" s="18"/>
      <c r="U45" s="18"/>
      <c r="V45" s="18"/>
      <c r="W45" s="18"/>
      <c r="X45" s="18"/>
    </row>
    <row r="46" spans="1:72" x14ac:dyDescent="0.2">
      <c r="A46" s="198">
        <v>560</v>
      </c>
      <c r="B46" s="330"/>
      <c r="C46" s="330"/>
      <c r="D46" s="200"/>
      <c r="E46" s="200"/>
      <c r="F46" s="199">
        <f>560-2*21.6</f>
        <v>516.79999999999995</v>
      </c>
      <c r="H46" s="23"/>
      <c r="Q46" s="18"/>
      <c r="S46" s="18"/>
      <c r="T46" s="18"/>
      <c r="U46" s="18"/>
      <c r="V46" s="18"/>
      <c r="W46" s="18"/>
      <c r="X46" s="18"/>
    </row>
    <row r="47" spans="1:72" x14ac:dyDescent="0.2">
      <c r="F47" s="193"/>
      <c r="Q47" s="18"/>
      <c r="S47" s="18"/>
      <c r="T47" s="18"/>
      <c r="U47" s="18"/>
      <c r="V47" s="18"/>
      <c r="W47" s="18"/>
      <c r="X47" s="18"/>
    </row>
  </sheetData>
  <mergeCells count="33">
    <mergeCell ref="B44:C44"/>
    <mergeCell ref="B45:C45"/>
    <mergeCell ref="B46:C46"/>
    <mergeCell ref="B38:C38"/>
    <mergeCell ref="B39:C39"/>
    <mergeCell ref="B40:C40"/>
    <mergeCell ref="B41:C41"/>
    <mergeCell ref="B42:C42"/>
    <mergeCell ref="B43:C43"/>
    <mergeCell ref="B37:C37"/>
    <mergeCell ref="AC12:AK12"/>
    <mergeCell ref="AN12:AO12"/>
    <mergeCell ref="AT12:BH14"/>
    <mergeCell ref="BT12:CH14"/>
    <mergeCell ref="G13:H13"/>
    <mergeCell ref="I13:J13"/>
    <mergeCell ref="P13:Q13"/>
    <mergeCell ref="R13:T13"/>
    <mergeCell ref="U13:AB13"/>
    <mergeCell ref="AN13:AO13"/>
    <mergeCell ref="B14:C14"/>
    <mergeCell ref="B15:C15"/>
    <mergeCell ref="A34:F34"/>
    <mergeCell ref="B35:F35"/>
    <mergeCell ref="B36:C36"/>
    <mergeCell ref="A8:AB8"/>
    <mergeCell ref="AC8:CH8"/>
    <mergeCell ref="BI10:BR10"/>
    <mergeCell ref="F11:O11"/>
    <mergeCell ref="P11:AB11"/>
    <mergeCell ref="AL11:AP11"/>
    <mergeCell ref="AQ11:AS11"/>
    <mergeCell ref="BI11:BR11"/>
  </mergeCells>
  <printOptions horizontalCentered="1"/>
  <pageMargins left="0" right="0" top="0.98425196850393704" bottom="0.39370078740157483" header="0" footer="0"/>
  <pageSetup scale="46" fitToWidth="2" orientation="landscape" horizontalDpi="300" verticalDpi="300" r:id="rId1"/>
  <headerFooter alignWithMargins="0"/>
  <colBreaks count="1" manualBreakCount="1">
    <brk id="28" min="7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Tratamiento Preliminar </vt:lpstr>
      <vt:lpstr>Tratamiento Primario</vt:lpstr>
      <vt:lpstr>Tratamiento Biológico (NO)</vt:lpstr>
      <vt:lpstr>Desinfección</vt:lpstr>
      <vt:lpstr>Lodos</vt:lpstr>
      <vt:lpstr>Conducciones de Disposición</vt:lpstr>
      <vt:lpstr>Colector Disposición</vt:lpstr>
      <vt:lpstr>'Colector Disposición'!Área_de_impresión</vt:lpstr>
      <vt:lpstr>'Colector Disposición'!Imprimir_área_IM</vt:lpstr>
      <vt:lpstr>'Colector Disposición'!Títulos_a_imprimir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DyH</dc:creator>
  <cp:lastModifiedBy>Victoria Rojas A.</cp:lastModifiedBy>
  <dcterms:created xsi:type="dcterms:W3CDTF">2018-11-30T18:47:47Z</dcterms:created>
  <dcterms:modified xsi:type="dcterms:W3CDTF">2024-03-15T03:43:39Z</dcterms:modified>
</cp:coreProperties>
</file>